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D:\мои документы\Бюджет 2025-2027\ПРОЕКТ\2. Одновременные\методика и расчет дотации на выравн\"/>
    </mc:Choice>
  </mc:AlternateContent>
  <xr:revisionPtr revIDLastSave="0" documentId="13_ncr:1_{DFDE7290-144A-47D8-AB23-07C9DCB9D2AA}" xr6:coauthVersionLast="47" xr6:coauthVersionMax="47" xr10:uidLastSave="{00000000-0000-0000-0000-000000000000}"/>
  <bookViews>
    <workbookView xWindow="-120" yWindow="-120" windowWidth="29040" windowHeight="15840" tabRatio="427" activeTab="4" xr2:uid="{00000000-000D-0000-FFFF-FFFF00000000}"/>
  </bookViews>
  <sheets>
    <sheet name="Исходные данные" sheetId="1" r:id="rId1"/>
    <sheet name="Расчет КРП" sheetId="2" r:id="rId2"/>
    <sheet name="2025" sheetId="4" r:id="rId3"/>
    <sheet name="2026" sheetId="5" r:id="rId4"/>
    <sheet name="2027" sheetId="6" r:id="rId5"/>
    <sheet name="итоги" sheetId="7" r:id="rId6"/>
  </sheets>
  <definedNames>
    <definedName name="___xlfn_COUNTIFS">#N/A</definedName>
    <definedName name="__xlfn_COUNTIFS">NA()</definedName>
    <definedName name="_xlnm._FilterDatabase" localSheetId="2" hidden="1">'2025'!$A$8:$GR$26</definedName>
    <definedName name="_xlnm._FilterDatabase" localSheetId="3" hidden="1">'2026'!#REF!</definedName>
    <definedName name="_xlnm._FilterDatabase" localSheetId="4" hidden="1">'2027'!#REF!</definedName>
    <definedName name="_xlnm._FilterDatabase" localSheetId="0" hidden="1">'Исходные данные'!$A$10:$IB$28</definedName>
    <definedName name="Excel_BuiltIn__FilterDatabase" localSheetId="2">'2025'!#REF!</definedName>
    <definedName name="Excel_BuiltIn__FilterDatabase" localSheetId="3">'2026'!#REF!</definedName>
    <definedName name="Excel_BuiltIn__FilterDatabase" localSheetId="4">'2027'!#REF!</definedName>
    <definedName name="Excel_BuiltIn_Print_Titles" localSheetId="0">'Исходные данные'!$A$6:$IA$9</definedName>
    <definedName name="Z_287B6B75_F102_4A35_99B4_72102AA4A344__wvu_FilterData" localSheetId="2">'2025'!#REF!</definedName>
    <definedName name="Z_287B6B75_F102_4A35_99B4_72102AA4A344__wvu_FilterData" localSheetId="3">'2026'!#REF!</definedName>
    <definedName name="Z_287B6B75_F102_4A35_99B4_72102AA4A344__wvu_FilterData" localSheetId="4">'2027'!#REF!</definedName>
    <definedName name="Z_287B6B75_F102_4A35_99B4_72102AA4A344__wvu_FilterData" localSheetId="0">'Исходные данные'!$B$9:$I$22</definedName>
    <definedName name="Z_287B6B75_F102_4A35_99B4_72102AA4A344__wvu_PrintArea" localSheetId="2">'2025'!#REF!</definedName>
    <definedName name="Z_287B6B75_F102_4A35_99B4_72102AA4A344__wvu_PrintArea" localSheetId="3">'2026'!#REF!</definedName>
    <definedName name="Z_287B6B75_F102_4A35_99B4_72102AA4A344__wvu_PrintArea" localSheetId="4">'2027'!#REF!</definedName>
    <definedName name="Z_287B6B75_F102_4A35_99B4_72102AA4A344__wvu_PrintArea" localSheetId="0">'Исходные данные'!$B$1:$I$19</definedName>
    <definedName name="Z_287B6B75_F102_4A35_99B4_72102AA4A344__wvu_PrintTitles" localSheetId="2">'2025'!$A:$A</definedName>
    <definedName name="Z_287B6B75_F102_4A35_99B4_72102AA4A344__wvu_PrintTitles" localSheetId="3">'2026'!$A:$A</definedName>
    <definedName name="Z_287B6B75_F102_4A35_99B4_72102AA4A344__wvu_PrintTitles" localSheetId="4">'2027'!$A:$A</definedName>
    <definedName name="Z_287B6B75_F102_4A35_99B4_72102AA4A344__wvu_PrintTitles" localSheetId="0">'Исходные данные'!$A$6:$IA$9</definedName>
    <definedName name="_xlnm.Print_Titles" localSheetId="2">'2025'!$A:$A</definedName>
    <definedName name="_xlnm.Print_Titles" localSheetId="3">'2026'!$A:$A</definedName>
    <definedName name="_xlnm.Print_Titles" localSheetId="4">'2027'!$A:$A</definedName>
    <definedName name="_xlnm.Print_Titles" localSheetId="0">'Исходные данные'!$6:$9</definedName>
    <definedName name="_xlnm.Print_Area" localSheetId="0">'Исходные данные'!$A$1:$J$30</definedName>
  </definedNames>
  <calcPr calcId="181029"/>
</workbook>
</file>

<file path=xl/calcChain.xml><?xml version="1.0" encoding="utf-8"?>
<calcChain xmlns="http://schemas.openxmlformats.org/spreadsheetml/2006/main">
  <c r="E10" i="7" l="1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9" i="7"/>
  <c r="D10" i="7" l="1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9" i="7"/>
  <c r="C10" i="7"/>
  <c r="C11" i="7"/>
  <c r="C12" i="7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9" i="7"/>
  <c r="GM26" i="5" l="1"/>
  <c r="GS26" i="4"/>
  <c r="GM26" i="6"/>
  <c r="C8" i="2" l="1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7" i="2"/>
  <c r="F7" i="2"/>
  <c r="D7" i="2"/>
  <c r="C7" i="2"/>
  <c r="G22" i="2" l="1"/>
  <c r="G11" i="2"/>
  <c r="G19" i="2"/>
  <c r="G14" i="2"/>
  <c r="G18" i="2"/>
  <c r="G10" i="2"/>
  <c r="G17" i="2"/>
  <c r="G9" i="2"/>
  <c r="G16" i="2"/>
  <c r="G8" i="2"/>
  <c r="G23" i="2"/>
  <c r="G15" i="2"/>
  <c r="G7" i="2"/>
  <c r="G21" i="2"/>
  <c r="G13" i="2"/>
  <c r="G20" i="2"/>
  <c r="G12" i="2"/>
  <c r="H10" i="6" l="1"/>
  <c r="H11" i="6"/>
  <c r="H12" i="6"/>
  <c r="H13" i="6"/>
  <c r="H14" i="6"/>
  <c r="H15" i="6"/>
  <c r="H16" i="6"/>
  <c r="H17" i="6"/>
  <c r="H18" i="6"/>
  <c r="H19" i="6"/>
  <c r="H20" i="6"/>
  <c r="H21" i="6"/>
  <c r="H22" i="6"/>
  <c r="H23" i="6"/>
  <c r="H24" i="6"/>
  <c r="H25" i="6"/>
  <c r="H9" i="6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9" i="5"/>
  <c r="E26" i="6"/>
  <c r="D26" i="6"/>
  <c r="F26" i="6" s="1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B7" i="6"/>
  <c r="C7" i="6" s="1"/>
  <c r="D7" i="6" s="1"/>
  <c r="E7" i="6" s="1"/>
  <c r="F7" i="6" s="1"/>
  <c r="G7" i="6" s="1"/>
  <c r="H7" i="6" s="1"/>
  <c r="I7" i="6" s="1"/>
  <c r="J7" i="6" s="1"/>
  <c r="K7" i="6" s="1"/>
  <c r="L7" i="6" s="1"/>
  <c r="M7" i="6" s="1"/>
  <c r="N7" i="6" s="1"/>
  <c r="O7" i="6" s="1"/>
  <c r="P7" i="6" s="1"/>
  <c r="Q7" i="6" s="1"/>
  <c r="R7" i="6" s="1"/>
  <c r="S7" i="6" s="1"/>
  <c r="T7" i="6" s="1"/>
  <c r="U7" i="6" s="1"/>
  <c r="V7" i="6" s="1"/>
  <c r="W7" i="6" s="1"/>
  <c r="X7" i="6" s="1"/>
  <c r="Y7" i="6" s="1"/>
  <c r="Z7" i="6" s="1"/>
  <c r="AA7" i="6" s="1"/>
  <c r="AB7" i="6" s="1"/>
  <c r="AC7" i="6" s="1"/>
  <c r="AD7" i="6" s="1"/>
  <c r="AE7" i="6" s="1"/>
  <c r="AF7" i="6" s="1"/>
  <c r="AG7" i="6" s="1"/>
  <c r="AH7" i="6" s="1"/>
  <c r="AI7" i="6" s="1"/>
  <c r="AJ7" i="6" s="1"/>
  <c r="AK7" i="6" s="1"/>
  <c r="AL7" i="6" s="1"/>
  <c r="AM7" i="6" s="1"/>
  <c r="AN7" i="6" s="1"/>
  <c r="AO7" i="6" s="1"/>
  <c r="AP7" i="6" s="1"/>
  <c r="AQ7" i="6" s="1"/>
  <c r="AR7" i="6" s="1"/>
  <c r="AS7" i="6" s="1"/>
  <c r="AT7" i="6" s="1"/>
  <c r="AU7" i="6" s="1"/>
  <c r="AV7" i="6" s="1"/>
  <c r="AW7" i="6" s="1"/>
  <c r="AX7" i="6" s="1"/>
  <c r="AY7" i="6" s="1"/>
  <c r="AZ7" i="6" s="1"/>
  <c r="BA7" i="6" s="1"/>
  <c r="BB7" i="6" s="1"/>
  <c r="BC7" i="6" s="1"/>
  <c r="BD7" i="6" s="1"/>
  <c r="BE7" i="6" s="1"/>
  <c r="BF7" i="6" s="1"/>
  <c r="BG7" i="6" s="1"/>
  <c r="BH7" i="6" s="1"/>
  <c r="BI7" i="6" s="1"/>
  <c r="BJ7" i="6" s="1"/>
  <c r="BK7" i="6" s="1"/>
  <c r="BL7" i="6" s="1"/>
  <c r="BM7" i="6" s="1"/>
  <c r="BN7" i="6" s="1"/>
  <c r="BO7" i="6" s="1"/>
  <c r="BP7" i="6" s="1"/>
  <c r="BQ7" i="6" s="1"/>
  <c r="BR7" i="6" s="1"/>
  <c r="BS7" i="6" s="1"/>
  <c r="BT7" i="6" s="1"/>
  <c r="BU7" i="6" s="1"/>
  <c r="BV7" i="6" s="1"/>
  <c r="BW7" i="6" s="1"/>
  <c r="BX7" i="6" s="1"/>
  <c r="BY7" i="6" s="1"/>
  <c r="BZ7" i="6" s="1"/>
  <c r="CA7" i="6" s="1"/>
  <c r="CB7" i="6" s="1"/>
  <c r="CC7" i="6" s="1"/>
  <c r="CD7" i="6" s="1"/>
  <c r="CE7" i="6" s="1"/>
  <c r="CF7" i="6" s="1"/>
  <c r="CG7" i="6" s="1"/>
  <c r="CH7" i="6" s="1"/>
  <c r="CI7" i="6" s="1"/>
  <c r="CJ7" i="6" s="1"/>
  <c r="CK7" i="6" s="1"/>
  <c r="CL7" i="6" s="1"/>
  <c r="CM7" i="6" s="1"/>
  <c r="CN7" i="6" s="1"/>
  <c r="CO7" i="6" s="1"/>
  <c r="CP7" i="6" s="1"/>
  <c r="CQ7" i="6" s="1"/>
  <c r="CR7" i="6" s="1"/>
  <c r="CS7" i="6" s="1"/>
  <c r="CT7" i="6" s="1"/>
  <c r="CU7" i="6" s="1"/>
  <c r="CV7" i="6" s="1"/>
  <c r="CW7" i="6" s="1"/>
  <c r="CX7" i="6" s="1"/>
  <c r="CY7" i="6" s="1"/>
  <c r="CZ7" i="6" s="1"/>
  <c r="DA7" i="6" s="1"/>
  <c r="DB7" i="6" s="1"/>
  <c r="DC7" i="6" s="1"/>
  <c r="DD7" i="6" s="1"/>
  <c r="DE7" i="6" s="1"/>
  <c r="DF7" i="6" s="1"/>
  <c r="DG7" i="6" s="1"/>
  <c r="DH7" i="6" s="1"/>
  <c r="DI7" i="6" s="1"/>
  <c r="DJ7" i="6" s="1"/>
  <c r="DK7" i="6" s="1"/>
  <c r="DL7" i="6" s="1"/>
  <c r="DM7" i="6" s="1"/>
  <c r="DN7" i="6" s="1"/>
  <c r="DO7" i="6" s="1"/>
  <c r="DP7" i="6" s="1"/>
  <c r="DQ7" i="6" s="1"/>
  <c r="DR7" i="6" s="1"/>
  <c r="DS7" i="6" s="1"/>
  <c r="DT7" i="6" s="1"/>
  <c r="DU7" i="6" s="1"/>
  <c r="DV7" i="6" s="1"/>
  <c r="DW7" i="6" s="1"/>
  <c r="DX7" i="6" s="1"/>
  <c r="DY7" i="6" s="1"/>
  <c r="DZ7" i="6" s="1"/>
  <c r="EA7" i="6" s="1"/>
  <c r="EB7" i="6" s="1"/>
  <c r="EC7" i="6" s="1"/>
  <c r="ED7" i="6" s="1"/>
  <c r="EE7" i="6" s="1"/>
  <c r="EF7" i="6" s="1"/>
  <c r="EG7" i="6" s="1"/>
  <c r="EH7" i="6" s="1"/>
  <c r="EI7" i="6" s="1"/>
  <c r="EJ7" i="6" s="1"/>
  <c r="EK7" i="6" s="1"/>
  <c r="EL7" i="6" s="1"/>
  <c r="EM7" i="6" s="1"/>
  <c r="EN7" i="6" s="1"/>
  <c r="EO7" i="6" s="1"/>
  <c r="EP7" i="6" s="1"/>
  <c r="EQ7" i="6" s="1"/>
  <c r="ER7" i="6" s="1"/>
  <c r="ES7" i="6" s="1"/>
  <c r="ET7" i="6" s="1"/>
  <c r="EU7" i="6" s="1"/>
  <c r="EV7" i="6" s="1"/>
  <c r="EW7" i="6" s="1"/>
  <c r="EX7" i="6" s="1"/>
  <c r="EY7" i="6" s="1"/>
  <c r="EZ7" i="6" s="1"/>
  <c r="FA7" i="6" s="1"/>
  <c r="FB7" i="6" s="1"/>
  <c r="FC7" i="6" s="1"/>
  <c r="FD7" i="6" s="1"/>
  <c r="FE7" i="6" s="1"/>
  <c r="FF7" i="6" s="1"/>
  <c r="FG7" i="6" s="1"/>
  <c r="FH7" i="6" s="1"/>
  <c r="FI7" i="6" s="1"/>
  <c r="FJ7" i="6" s="1"/>
  <c r="FK7" i="6" s="1"/>
  <c r="FL7" i="6" s="1"/>
  <c r="FM7" i="6" s="1"/>
  <c r="FN7" i="6" s="1"/>
  <c r="FO7" i="6" s="1"/>
  <c r="FP7" i="6" s="1"/>
  <c r="FQ7" i="6" s="1"/>
  <c r="FR7" i="6" s="1"/>
  <c r="FS7" i="6" s="1"/>
  <c r="FT7" i="6" s="1"/>
  <c r="FU7" i="6" s="1"/>
  <c r="FV7" i="6" s="1"/>
  <c r="FW7" i="6" s="1"/>
  <c r="FX7" i="6" s="1"/>
  <c r="FY7" i="6" s="1"/>
  <c r="FZ7" i="6" s="1"/>
  <c r="GA7" i="6" s="1"/>
  <c r="GB7" i="6" s="1"/>
  <c r="GC7" i="6" s="1"/>
  <c r="GD7" i="6" s="1"/>
  <c r="GE7" i="6" s="1"/>
  <c r="GF7" i="6" s="1"/>
  <c r="GG7" i="6" s="1"/>
  <c r="GH7" i="6" s="1"/>
  <c r="GI7" i="6" s="1"/>
  <c r="GJ7" i="6" s="1"/>
  <c r="GK7" i="6" s="1"/>
  <c r="GL7" i="6" s="1"/>
  <c r="GM7" i="6" s="1"/>
  <c r="E26" i="5"/>
  <c r="D26" i="5"/>
  <c r="G25" i="5"/>
  <c r="G24" i="5"/>
  <c r="G23" i="5"/>
  <c r="G22" i="5"/>
  <c r="G21" i="5"/>
  <c r="G20" i="5"/>
  <c r="G19" i="5"/>
  <c r="G18" i="5"/>
  <c r="G17" i="5"/>
  <c r="G16" i="5"/>
  <c r="G15" i="5"/>
  <c r="G14" i="5"/>
  <c r="G13" i="5"/>
  <c r="G12" i="5"/>
  <c r="G11" i="5"/>
  <c r="G10" i="5"/>
  <c r="G9" i="5"/>
  <c r="B7" i="5"/>
  <c r="C7" i="5" s="1"/>
  <c r="D7" i="5" s="1"/>
  <c r="E7" i="5" s="1"/>
  <c r="F7" i="5" s="1"/>
  <c r="G7" i="5" s="1"/>
  <c r="H7" i="5" s="1"/>
  <c r="I7" i="5" s="1"/>
  <c r="J7" i="5" s="1"/>
  <c r="K7" i="5" s="1"/>
  <c r="L7" i="5" s="1"/>
  <c r="M7" i="5" s="1"/>
  <c r="N7" i="5" s="1"/>
  <c r="O7" i="5" s="1"/>
  <c r="P7" i="5" s="1"/>
  <c r="Q7" i="5" s="1"/>
  <c r="R7" i="5" s="1"/>
  <c r="S7" i="5" s="1"/>
  <c r="T7" i="5" s="1"/>
  <c r="U7" i="5" s="1"/>
  <c r="V7" i="5" s="1"/>
  <c r="W7" i="5" s="1"/>
  <c r="X7" i="5" s="1"/>
  <c r="Y7" i="5" s="1"/>
  <c r="Z7" i="5" s="1"/>
  <c r="AA7" i="5" s="1"/>
  <c r="AB7" i="5" s="1"/>
  <c r="AC7" i="5" s="1"/>
  <c r="AD7" i="5" s="1"/>
  <c r="AE7" i="5" s="1"/>
  <c r="AF7" i="5" s="1"/>
  <c r="AG7" i="5" s="1"/>
  <c r="AH7" i="5" s="1"/>
  <c r="AI7" i="5" s="1"/>
  <c r="AJ7" i="5" s="1"/>
  <c r="AK7" i="5" s="1"/>
  <c r="AL7" i="5" s="1"/>
  <c r="AM7" i="5" s="1"/>
  <c r="AN7" i="5" s="1"/>
  <c r="AO7" i="5" s="1"/>
  <c r="AP7" i="5" s="1"/>
  <c r="AQ7" i="5" s="1"/>
  <c r="AR7" i="5" s="1"/>
  <c r="AS7" i="5" s="1"/>
  <c r="AT7" i="5" s="1"/>
  <c r="AU7" i="5" s="1"/>
  <c r="AV7" i="5" s="1"/>
  <c r="AW7" i="5" s="1"/>
  <c r="AX7" i="5" s="1"/>
  <c r="AY7" i="5" s="1"/>
  <c r="AZ7" i="5" s="1"/>
  <c r="BA7" i="5" s="1"/>
  <c r="BB7" i="5" s="1"/>
  <c r="BC7" i="5" s="1"/>
  <c r="BD7" i="5" s="1"/>
  <c r="BE7" i="5" s="1"/>
  <c r="BF7" i="5" s="1"/>
  <c r="BG7" i="5" s="1"/>
  <c r="BH7" i="5" s="1"/>
  <c r="BI7" i="5" s="1"/>
  <c r="BJ7" i="5" s="1"/>
  <c r="BK7" i="5" s="1"/>
  <c r="BL7" i="5" s="1"/>
  <c r="BM7" i="5" s="1"/>
  <c r="BN7" i="5" s="1"/>
  <c r="BO7" i="5" s="1"/>
  <c r="BP7" i="5" s="1"/>
  <c r="BQ7" i="5" s="1"/>
  <c r="BR7" i="5" s="1"/>
  <c r="BS7" i="5" s="1"/>
  <c r="BT7" i="5" s="1"/>
  <c r="BU7" i="5" s="1"/>
  <c r="BV7" i="5" s="1"/>
  <c r="BW7" i="5" s="1"/>
  <c r="BX7" i="5" s="1"/>
  <c r="BY7" i="5" s="1"/>
  <c r="BZ7" i="5" s="1"/>
  <c r="CA7" i="5" s="1"/>
  <c r="CB7" i="5" s="1"/>
  <c r="CC7" i="5" s="1"/>
  <c r="CD7" i="5" s="1"/>
  <c r="CE7" i="5" s="1"/>
  <c r="CF7" i="5" s="1"/>
  <c r="CG7" i="5" s="1"/>
  <c r="CH7" i="5" s="1"/>
  <c r="CI7" i="5" s="1"/>
  <c r="CJ7" i="5" s="1"/>
  <c r="CK7" i="5" s="1"/>
  <c r="CL7" i="5" s="1"/>
  <c r="CM7" i="5" s="1"/>
  <c r="CN7" i="5" s="1"/>
  <c r="CO7" i="5" s="1"/>
  <c r="CP7" i="5" s="1"/>
  <c r="CQ7" i="5" s="1"/>
  <c r="CR7" i="5" s="1"/>
  <c r="CS7" i="5" s="1"/>
  <c r="CT7" i="5" s="1"/>
  <c r="CU7" i="5" s="1"/>
  <c r="CV7" i="5" s="1"/>
  <c r="CW7" i="5" s="1"/>
  <c r="CX7" i="5" s="1"/>
  <c r="CY7" i="5" s="1"/>
  <c r="CZ7" i="5" s="1"/>
  <c r="DA7" i="5" s="1"/>
  <c r="DB7" i="5" s="1"/>
  <c r="DC7" i="5" s="1"/>
  <c r="DD7" i="5" s="1"/>
  <c r="DE7" i="5" s="1"/>
  <c r="DF7" i="5" s="1"/>
  <c r="DG7" i="5" s="1"/>
  <c r="DH7" i="5" s="1"/>
  <c r="DI7" i="5" s="1"/>
  <c r="DJ7" i="5" s="1"/>
  <c r="DK7" i="5" s="1"/>
  <c r="DL7" i="5" s="1"/>
  <c r="DM7" i="5" s="1"/>
  <c r="DN7" i="5" s="1"/>
  <c r="DO7" i="5" s="1"/>
  <c r="DP7" i="5" s="1"/>
  <c r="DQ7" i="5" s="1"/>
  <c r="DR7" i="5" s="1"/>
  <c r="DS7" i="5" s="1"/>
  <c r="DT7" i="5" s="1"/>
  <c r="DU7" i="5" s="1"/>
  <c r="DV7" i="5" s="1"/>
  <c r="DW7" i="5" s="1"/>
  <c r="DX7" i="5" s="1"/>
  <c r="DY7" i="5" s="1"/>
  <c r="DZ7" i="5" s="1"/>
  <c r="EA7" i="5" s="1"/>
  <c r="EB7" i="5" s="1"/>
  <c r="EC7" i="5" s="1"/>
  <c r="ED7" i="5" s="1"/>
  <c r="EE7" i="5" s="1"/>
  <c r="EF7" i="5" s="1"/>
  <c r="EG7" i="5" s="1"/>
  <c r="EH7" i="5" s="1"/>
  <c r="EI7" i="5" s="1"/>
  <c r="EJ7" i="5" s="1"/>
  <c r="EK7" i="5" s="1"/>
  <c r="EL7" i="5" s="1"/>
  <c r="EM7" i="5" s="1"/>
  <c r="EN7" i="5" s="1"/>
  <c r="EO7" i="5" s="1"/>
  <c r="EP7" i="5" s="1"/>
  <c r="EQ7" i="5" s="1"/>
  <c r="ER7" i="5" s="1"/>
  <c r="ES7" i="5" s="1"/>
  <c r="ET7" i="5" s="1"/>
  <c r="EU7" i="5" s="1"/>
  <c r="EV7" i="5" s="1"/>
  <c r="EW7" i="5" s="1"/>
  <c r="EX7" i="5" s="1"/>
  <c r="EY7" i="5" s="1"/>
  <c r="EZ7" i="5" s="1"/>
  <c r="FA7" i="5" s="1"/>
  <c r="FB7" i="5" s="1"/>
  <c r="FC7" i="5" s="1"/>
  <c r="FD7" i="5" s="1"/>
  <c r="FE7" i="5" s="1"/>
  <c r="FF7" i="5" s="1"/>
  <c r="FG7" i="5" s="1"/>
  <c r="FH7" i="5" s="1"/>
  <c r="FI7" i="5" s="1"/>
  <c r="FJ7" i="5" s="1"/>
  <c r="FK7" i="5" s="1"/>
  <c r="FL7" i="5" s="1"/>
  <c r="FM7" i="5" s="1"/>
  <c r="FN7" i="5" s="1"/>
  <c r="FO7" i="5" s="1"/>
  <c r="FP7" i="5" s="1"/>
  <c r="FQ7" i="5" s="1"/>
  <c r="FR7" i="5" s="1"/>
  <c r="FS7" i="5" s="1"/>
  <c r="FT7" i="5" s="1"/>
  <c r="FU7" i="5" s="1"/>
  <c r="FV7" i="5" s="1"/>
  <c r="FW7" i="5" s="1"/>
  <c r="FX7" i="5" s="1"/>
  <c r="FY7" i="5" s="1"/>
  <c r="FZ7" i="5" s="1"/>
  <c r="GA7" i="5" s="1"/>
  <c r="GB7" i="5" s="1"/>
  <c r="GC7" i="5" s="1"/>
  <c r="GD7" i="5" s="1"/>
  <c r="GE7" i="5" s="1"/>
  <c r="GF7" i="5" s="1"/>
  <c r="GG7" i="5" s="1"/>
  <c r="GH7" i="5" s="1"/>
  <c r="GI7" i="5" s="1"/>
  <c r="GJ7" i="5" s="1"/>
  <c r="GK7" i="5" s="1"/>
  <c r="GL7" i="5" s="1"/>
  <c r="GM7" i="5" s="1"/>
  <c r="H26" i="6" l="1"/>
  <c r="G26" i="6"/>
  <c r="L25" i="6" s="1"/>
  <c r="G26" i="5"/>
  <c r="L12" i="5" s="1"/>
  <c r="H26" i="5"/>
  <c r="F26" i="5"/>
  <c r="I9" i="6" l="1"/>
  <c r="K9" i="6" s="1"/>
  <c r="I18" i="6"/>
  <c r="K18" i="6" s="1"/>
  <c r="I10" i="6"/>
  <c r="K10" i="6" s="1"/>
  <c r="I22" i="5"/>
  <c r="K22" i="5" s="1"/>
  <c r="I14" i="5"/>
  <c r="K14" i="5" s="1"/>
  <c r="I21" i="6"/>
  <c r="K21" i="6" s="1"/>
  <c r="I13" i="6"/>
  <c r="K13" i="6" s="1"/>
  <c r="L23" i="6"/>
  <c r="L19" i="6"/>
  <c r="L15" i="6"/>
  <c r="L22" i="6"/>
  <c r="L20" i="5"/>
  <c r="L18" i="6"/>
  <c r="L16" i="6"/>
  <c r="L20" i="6"/>
  <c r="L12" i="6"/>
  <c r="L17" i="6"/>
  <c r="L21" i="6"/>
  <c r="L14" i="6"/>
  <c r="J26" i="6"/>
  <c r="L24" i="6"/>
  <c r="L13" i="6"/>
  <c r="L11" i="6"/>
  <c r="L9" i="6"/>
  <c r="L10" i="6"/>
  <c r="L15" i="5"/>
  <c r="L9" i="5"/>
  <c r="L22" i="5"/>
  <c r="J26" i="5"/>
  <c r="L21" i="5"/>
  <c r="L16" i="5"/>
  <c r="L17" i="5"/>
  <c r="L18" i="5"/>
  <c r="L13" i="5"/>
  <c r="L10" i="5"/>
  <c r="L24" i="5"/>
  <c r="L19" i="5"/>
  <c r="L25" i="5"/>
  <c r="L23" i="5"/>
  <c r="L11" i="5"/>
  <c r="L14" i="5"/>
  <c r="G28" i="1"/>
  <c r="H28" i="1"/>
  <c r="I28" i="1"/>
  <c r="F28" i="1"/>
  <c r="E28" i="1"/>
  <c r="I22" i="6" l="1"/>
  <c r="K22" i="6" s="1"/>
  <c r="I9" i="5"/>
  <c r="K9" i="5" s="1"/>
  <c r="I10" i="5"/>
  <c r="K10" i="5" s="1"/>
  <c r="I13" i="5"/>
  <c r="K13" i="5" s="1"/>
  <c r="I21" i="5"/>
  <c r="K21" i="5" s="1"/>
  <c r="I14" i="6"/>
  <c r="K14" i="6" s="1"/>
  <c r="I18" i="5"/>
  <c r="K18" i="5" s="1"/>
  <c r="I15" i="5"/>
  <c r="K15" i="5" s="1"/>
  <c r="I15" i="6"/>
  <c r="K15" i="6" s="1"/>
  <c r="I23" i="6"/>
  <c r="K23" i="6" s="1"/>
  <c r="I23" i="5"/>
  <c r="K23" i="5" s="1"/>
  <c r="I12" i="6"/>
  <c r="K12" i="6" s="1"/>
  <c r="I12" i="5"/>
  <c r="K12" i="5" s="1"/>
  <c r="I16" i="6"/>
  <c r="K16" i="6" s="1"/>
  <c r="I16" i="5"/>
  <c r="K16" i="5" s="1"/>
  <c r="I17" i="6"/>
  <c r="K17" i="6" s="1"/>
  <c r="I17" i="5"/>
  <c r="K17" i="5" s="1"/>
  <c r="I20" i="6"/>
  <c r="K20" i="6" s="1"/>
  <c r="I20" i="5"/>
  <c r="K20" i="5" s="1"/>
  <c r="I25" i="6"/>
  <c r="K25" i="6" s="1"/>
  <c r="I25" i="5"/>
  <c r="K25" i="5" s="1"/>
  <c r="M22" i="5"/>
  <c r="I11" i="5"/>
  <c r="K11" i="5" s="1"/>
  <c r="I11" i="6"/>
  <c r="K11" i="6" s="1"/>
  <c r="I24" i="6"/>
  <c r="K24" i="6" s="1"/>
  <c r="I24" i="5"/>
  <c r="K24" i="5" s="1"/>
  <c r="I19" i="6"/>
  <c r="K19" i="6" s="1"/>
  <c r="I19" i="5"/>
  <c r="K19" i="5" s="1"/>
  <c r="M13" i="6"/>
  <c r="M18" i="6"/>
  <c r="L26" i="6"/>
  <c r="M9" i="6"/>
  <c r="M10" i="6"/>
  <c r="M21" i="6"/>
  <c r="M14" i="5"/>
  <c r="M13" i="5"/>
  <c r="L26" i="5"/>
  <c r="I22" i="4"/>
  <c r="I23" i="4"/>
  <c r="I24" i="4"/>
  <c r="I25" i="4"/>
  <c r="H22" i="4"/>
  <c r="H23" i="4"/>
  <c r="H24" i="4"/>
  <c r="H25" i="4"/>
  <c r="G22" i="4"/>
  <c r="G23" i="4"/>
  <c r="G24" i="4"/>
  <c r="G25" i="4"/>
  <c r="M21" i="5" l="1"/>
  <c r="M9" i="5"/>
  <c r="M22" i="6"/>
  <c r="M18" i="5"/>
  <c r="M15" i="6"/>
  <c r="M10" i="5"/>
  <c r="M23" i="6"/>
  <c r="M24" i="6"/>
  <c r="M24" i="5"/>
  <c r="M19" i="5"/>
  <c r="M14" i="6"/>
  <c r="M20" i="6"/>
  <c r="M17" i="5"/>
  <c r="M25" i="6"/>
  <c r="M16" i="6"/>
  <c r="M19" i="6"/>
  <c r="M12" i="5"/>
  <c r="M12" i="6"/>
  <c r="M16" i="5"/>
  <c r="M15" i="5"/>
  <c r="M11" i="5"/>
  <c r="M25" i="5"/>
  <c r="M20" i="5"/>
  <c r="M11" i="6"/>
  <c r="M23" i="5"/>
  <c r="M17" i="6"/>
  <c r="D28" i="1"/>
  <c r="C28" i="1"/>
  <c r="I10" i="4"/>
  <c r="I11" i="4"/>
  <c r="I12" i="4"/>
  <c r="I13" i="4"/>
  <c r="I14" i="4"/>
  <c r="I15" i="4"/>
  <c r="I16" i="4"/>
  <c r="I17" i="4"/>
  <c r="I18" i="4"/>
  <c r="I19" i="4"/>
  <c r="I20" i="4"/>
  <c r="I21" i="4"/>
  <c r="H10" i="4"/>
  <c r="H11" i="4"/>
  <c r="H12" i="4"/>
  <c r="H13" i="4"/>
  <c r="H14" i="4"/>
  <c r="H15" i="4"/>
  <c r="H16" i="4"/>
  <c r="H17" i="4"/>
  <c r="H18" i="4"/>
  <c r="H19" i="4"/>
  <c r="H20" i="4"/>
  <c r="H21" i="4"/>
  <c r="G10" i="4"/>
  <c r="G11" i="4"/>
  <c r="G12" i="4"/>
  <c r="G13" i="4"/>
  <c r="G14" i="4"/>
  <c r="G15" i="4"/>
  <c r="G16" i="4"/>
  <c r="G17" i="4"/>
  <c r="G18" i="4"/>
  <c r="G19" i="4"/>
  <c r="G20" i="4"/>
  <c r="G21" i="4"/>
  <c r="N26" i="6" l="1"/>
  <c r="N26" i="5"/>
  <c r="I9" i="4"/>
  <c r="O23" i="6" l="1"/>
  <c r="P23" i="6" s="1"/>
  <c r="O22" i="5"/>
  <c r="P22" i="5" s="1"/>
  <c r="O10" i="6"/>
  <c r="P10" i="6" s="1"/>
  <c r="O19" i="6"/>
  <c r="P19" i="6" s="1"/>
  <c r="O18" i="6"/>
  <c r="P18" i="6" s="1"/>
  <c r="O21" i="6"/>
  <c r="P21" i="6" s="1"/>
  <c r="O13" i="6"/>
  <c r="P13" i="6" s="1"/>
  <c r="O24" i="6"/>
  <c r="P24" i="6" s="1"/>
  <c r="O15" i="6"/>
  <c r="P15" i="6" s="1"/>
  <c r="O14" i="6"/>
  <c r="P14" i="6" s="1"/>
  <c r="O25" i="6"/>
  <c r="P25" i="6" s="1"/>
  <c r="O16" i="6"/>
  <c r="P16" i="6" s="1"/>
  <c r="O17" i="6"/>
  <c r="P17" i="6" s="1"/>
  <c r="O20" i="6"/>
  <c r="P20" i="6" s="1"/>
  <c r="O9" i="6"/>
  <c r="P9" i="6" s="1"/>
  <c r="O22" i="6"/>
  <c r="P22" i="6" s="1"/>
  <c r="O11" i="6"/>
  <c r="P11" i="6" s="1"/>
  <c r="O12" i="6"/>
  <c r="P12" i="6" s="1"/>
  <c r="O11" i="5"/>
  <c r="P11" i="5" s="1"/>
  <c r="O24" i="5"/>
  <c r="P24" i="5" s="1"/>
  <c r="O19" i="5"/>
  <c r="P19" i="5" s="1"/>
  <c r="O16" i="5"/>
  <c r="P16" i="5" s="1"/>
  <c r="O9" i="5"/>
  <c r="P9" i="5" s="1"/>
  <c r="O18" i="5"/>
  <c r="P18" i="5" s="1"/>
  <c r="O20" i="5"/>
  <c r="P20" i="5" s="1"/>
  <c r="O12" i="5"/>
  <c r="P12" i="5" s="1"/>
  <c r="O15" i="5"/>
  <c r="P15" i="5" s="1"/>
  <c r="O25" i="5"/>
  <c r="P25" i="5" s="1"/>
  <c r="O10" i="5"/>
  <c r="P10" i="5" s="1"/>
  <c r="O14" i="5"/>
  <c r="P14" i="5" s="1"/>
  <c r="O21" i="5"/>
  <c r="P21" i="5" s="1"/>
  <c r="O13" i="5"/>
  <c r="P13" i="5" s="1"/>
  <c r="O17" i="5"/>
  <c r="P17" i="5" s="1"/>
  <c r="O23" i="5"/>
  <c r="P23" i="5" s="1"/>
  <c r="D26" i="4"/>
  <c r="E26" i="4"/>
  <c r="B7" i="4"/>
  <c r="C7" i="4" s="1"/>
  <c r="D7" i="4" s="1"/>
  <c r="E7" i="4" s="1"/>
  <c r="F7" i="4" s="1"/>
  <c r="G7" i="4" s="1"/>
  <c r="H7" i="4" s="1"/>
  <c r="I7" i="4" s="1"/>
  <c r="J7" i="4" s="1"/>
  <c r="K7" i="4" s="1"/>
  <c r="G9" i="4"/>
  <c r="G26" i="4" s="1"/>
  <c r="H9" i="4"/>
  <c r="B6" i="2"/>
  <c r="C6" i="2" s="1"/>
  <c r="D6" i="2" s="1"/>
  <c r="P26" i="6" l="1"/>
  <c r="Q9" i="6" s="1"/>
  <c r="P26" i="5"/>
  <c r="L9" i="4"/>
  <c r="H26" i="4"/>
  <c r="K22" i="4" s="1"/>
  <c r="L25" i="4"/>
  <c r="L24" i="4"/>
  <c r="L23" i="4"/>
  <c r="L22" i="4"/>
  <c r="L7" i="4"/>
  <c r="F26" i="4"/>
  <c r="E6" i="2"/>
  <c r="F6" i="2" s="1"/>
  <c r="G6" i="2" s="1"/>
  <c r="L21" i="4"/>
  <c r="Q10" i="5" l="1"/>
  <c r="T10" i="5" s="1"/>
  <c r="Q20" i="5"/>
  <c r="T20" i="5" s="1"/>
  <c r="Q17" i="6"/>
  <c r="T17" i="6" s="1"/>
  <c r="Q21" i="6"/>
  <c r="T21" i="6" s="1"/>
  <c r="Q13" i="6"/>
  <c r="T13" i="6" s="1"/>
  <c r="Q23" i="6"/>
  <c r="T23" i="6" s="1"/>
  <c r="Q12" i="6"/>
  <c r="T12" i="6" s="1"/>
  <c r="Q25" i="6"/>
  <c r="T25" i="6" s="1"/>
  <c r="Q10" i="6"/>
  <c r="Q24" i="6"/>
  <c r="T24" i="6" s="1"/>
  <c r="Q16" i="6"/>
  <c r="T16" i="6" s="1"/>
  <c r="Q15" i="6"/>
  <c r="T15" i="6" s="1"/>
  <c r="Q22" i="6"/>
  <c r="T22" i="6" s="1"/>
  <c r="Q14" i="6"/>
  <c r="T14" i="6" s="1"/>
  <c r="Q20" i="6"/>
  <c r="T20" i="6" s="1"/>
  <c r="Q19" i="6"/>
  <c r="T19" i="6" s="1"/>
  <c r="Q11" i="6"/>
  <c r="T11" i="6" s="1"/>
  <c r="Q18" i="6"/>
  <c r="T18" i="6" s="1"/>
  <c r="Q11" i="5"/>
  <c r="T11" i="5" s="1"/>
  <c r="Q9" i="5"/>
  <c r="T9" i="5" s="1"/>
  <c r="Q24" i="5"/>
  <c r="T24" i="5" s="1"/>
  <c r="Q22" i="5"/>
  <c r="T22" i="5" s="1"/>
  <c r="Q17" i="5"/>
  <c r="T17" i="5" s="1"/>
  <c r="Q15" i="5"/>
  <c r="T15" i="5" s="1"/>
  <c r="Q18" i="5"/>
  <c r="T18" i="5" s="1"/>
  <c r="Q12" i="5"/>
  <c r="T12" i="5" s="1"/>
  <c r="Q21" i="5"/>
  <c r="T21" i="5" s="1"/>
  <c r="Q25" i="5"/>
  <c r="T25" i="5" s="1"/>
  <c r="Q19" i="5"/>
  <c r="T19" i="5" s="1"/>
  <c r="Q14" i="5"/>
  <c r="T14" i="5" s="1"/>
  <c r="Q16" i="5"/>
  <c r="T16" i="5" s="1"/>
  <c r="Q23" i="5"/>
  <c r="T23" i="5" s="1"/>
  <c r="Q13" i="5"/>
  <c r="T13" i="5" s="1"/>
  <c r="T9" i="6"/>
  <c r="K24" i="4"/>
  <c r="K25" i="4"/>
  <c r="K23" i="4"/>
  <c r="M7" i="4"/>
  <c r="N7" i="4" s="1"/>
  <c r="O7" i="4" s="1"/>
  <c r="P7" i="4" s="1"/>
  <c r="Q7" i="4" s="1"/>
  <c r="R7" i="4" s="1"/>
  <c r="S7" i="4" s="1"/>
  <c r="J26" i="4"/>
  <c r="M21" i="4" s="1"/>
  <c r="K9" i="4"/>
  <c r="K14" i="4"/>
  <c r="K12" i="4"/>
  <c r="K17" i="4"/>
  <c r="K15" i="4"/>
  <c r="K11" i="4"/>
  <c r="K10" i="4"/>
  <c r="K16" i="4"/>
  <c r="K13" i="4"/>
  <c r="K19" i="4"/>
  <c r="K20" i="4"/>
  <c r="K18" i="4"/>
  <c r="K21" i="4"/>
  <c r="L18" i="4"/>
  <c r="L11" i="4"/>
  <c r="L20" i="4"/>
  <c r="L15" i="4"/>
  <c r="L13" i="4"/>
  <c r="L10" i="4"/>
  <c r="L19" i="4"/>
  <c r="L12" i="4"/>
  <c r="L17" i="4"/>
  <c r="L14" i="4"/>
  <c r="L16" i="4"/>
  <c r="Q26" i="6" l="1"/>
  <c r="R26" i="6" s="1"/>
  <c r="T10" i="6"/>
  <c r="S26" i="6" s="1"/>
  <c r="S26" i="5"/>
  <c r="U24" i="5" s="1"/>
  <c r="Q26" i="5"/>
  <c r="R26" i="5" s="1"/>
  <c r="M23" i="4"/>
  <c r="L26" i="4"/>
  <c r="M24" i="4"/>
  <c r="M25" i="4"/>
  <c r="M22" i="4"/>
  <c r="T7" i="4"/>
  <c r="U7" i="4" s="1"/>
  <c r="V7" i="4" s="1"/>
  <c r="W7" i="4" s="1"/>
  <c r="X7" i="4" s="1"/>
  <c r="Y7" i="4" s="1"/>
  <c r="M17" i="4"/>
  <c r="M10" i="4"/>
  <c r="M18" i="4"/>
  <c r="M16" i="4"/>
  <c r="M19" i="4"/>
  <c r="M14" i="4"/>
  <c r="M13" i="4"/>
  <c r="M11" i="4"/>
  <c r="M9" i="4"/>
  <c r="M12" i="4"/>
  <c r="M15" i="4"/>
  <c r="M20" i="4"/>
  <c r="V24" i="5" l="1"/>
  <c r="U19" i="5"/>
  <c r="V19" i="5" s="1"/>
  <c r="U10" i="5"/>
  <c r="V10" i="5" s="1"/>
  <c r="U9" i="5"/>
  <c r="V9" i="5" s="1"/>
  <c r="U11" i="5"/>
  <c r="V11" i="5" s="1"/>
  <c r="U15" i="5"/>
  <c r="V15" i="5" s="1"/>
  <c r="U22" i="5"/>
  <c r="V22" i="5" s="1"/>
  <c r="U18" i="5"/>
  <c r="V18" i="5" s="1"/>
  <c r="U14" i="5"/>
  <c r="V14" i="5" s="1"/>
  <c r="U16" i="5"/>
  <c r="V16" i="5" s="1"/>
  <c r="U20" i="5"/>
  <c r="V20" i="5" s="1"/>
  <c r="U13" i="5"/>
  <c r="V13" i="5" s="1"/>
  <c r="U21" i="5"/>
  <c r="V21" i="5" s="1"/>
  <c r="U17" i="5"/>
  <c r="V17" i="5" s="1"/>
  <c r="U25" i="5"/>
  <c r="V25" i="5" s="1"/>
  <c r="U23" i="5"/>
  <c r="V23" i="5" s="1"/>
  <c r="U12" i="5"/>
  <c r="V12" i="5" s="1"/>
  <c r="U24" i="6"/>
  <c r="V24" i="6" s="1"/>
  <c r="U23" i="6"/>
  <c r="V23" i="6" s="1"/>
  <c r="U25" i="6"/>
  <c r="V25" i="6" s="1"/>
  <c r="U22" i="6"/>
  <c r="V22" i="6" s="1"/>
  <c r="U18" i="6"/>
  <c r="V18" i="6" s="1"/>
  <c r="U20" i="6"/>
  <c r="V20" i="6" s="1"/>
  <c r="U16" i="6"/>
  <c r="V16" i="6" s="1"/>
  <c r="U15" i="6"/>
  <c r="V15" i="6" s="1"/>
  <c r="U14" i="6"/>
  <c r="V14" i="6" s="1"/>
  <c r="U13" i="6"/>
  <c r="V13" i="6" s="1"/>
  <c r="U12" i="6"/>
  <c r="V12" i="6" s="1"/>
  <c r="U11" i="6"/>
  <c r="V11" i="6" s="1"/>
  <c r="U10" i="6"/>
  <c r="V10" i="6" s="1"/>
  <c r="U9" i="6"/>
  <c r="V9" i="6" s="1"/>
  <c r="U21" i="6"/>
  <c r="V21" i="6" s="1"/>
  <c r="U17" i="6"/>
  <c r="V17" i="6" s="1"/>
  <c r="U19" i="6"/>
  <c r="V19" i="6" s="1"/>
  <c r="N26" i="4"/>
  <c r="Z7" i="4"/>
  <c r="AA7" i="4" s="1"/>
  <c r="AB7" i="4" s="1"/>
  <c r="AC7" i="4" s="1"/>
  <c r="AD7" i="4" s="1"/>
  <c r="AE7" i="4" s="1"/>
  <c r="V26" i="5" l="1"/>
  <c r="W24" i="5" s="1"/>
  <c r="V26" i="6"/>
  <c r="O25" i="4"/>
  <c r="P25" i="4" s="1"/>
  <c r="O22" i="4"/>
  <c r="P22" i="4" s="1"/>
  <c r="O23" i="4"/>
  <c r="P23" i="4" s="1"/>
  <c r="O24" i="4"/>
  <c r="P24" i="4" s="1"/>
  <c r="AF7" i="4"/>
  <c r="AG7" i="4" s="1"/>
  <c r="AH7" i="4" s="1"/>
  <c r="AI7" i="4" s="1"/>
  <c r="AJ7" i="4" s="1"/>
  <c r="AK7" i="4" s="1"/>
  <c r="O17" i="4"/>
  <c r="P17" i="4" s="1"/>
  <c r="O20" i="4"/>
  <c r="P20" i="4" s="1"/>
  <c r="O13" i="4"/>
  <c r="P13" i="4" s="1"/>
  <c r="O21" i="4"/>
  <c r="P21" i="4" s="1"/>
  <c r="O12" i="4"/>
  <c r="P12" i="4" s="1"/>
  <c r="O16" i="4"/>
  <c r="P16" i="4" s="1"/>
  <c r="O11" i="4"/>
  <c r="P11" i="4" s="1"/>
  <c r="O15" i="4"/>
  <c r="P15" i="4" s="1"/>
  <c r="O19" i="4"/>
  <c r="P19" i="4" s="1"/>
  <c r="O14" i="4"/>
  <c r="P14" i="4" s="1"/>
  <c r="O18" i="4"/>
  <c r="P18" i="4" s="1"/>
  <c r="O10" i="4"/>
  <c r="P10" i="4" s="1"/>
  <c r="O9" i="4"/>
  <c r="P9" i="4" s="1"/>
  <c r="W20" i="5" l="1"/>
  <c r="Z20" i="5" s="1"/>
  <c r="W23" i="5"/>
  <c r="Z23" i="5" s="1"/>
  <c r="W18" i="5"/>
  <c r="Z18" i="5" s="1"/>
  <c r="W21" i="5"/>
  <c r="Z21" i="5" s="1"/>
  <c r="W15" i="5"/>
  <c r="Z15" i="5" s="1"/>
  <c r="W25" i="5"/>
  <c r="Z25" i="5" s="1"/>
  <c r="W22" i="5"/>
  <c r="Z22" i="5" s="1"/>
  <c r="W12" i="5"/>
  <c r="Z12" i="5" s="1"/>
  <c r="W16" i="5"/>
  <c r="Z16" i="5" s="1"/>
  <c r="W13" i="5"/>
  <c r="Z13" i="5" s="1"/>
  <c r="W9" i="5"/>
  <c r="Z9" i="5" s="1"/>
  <c r="W19" i="5"/>
  <c r="Z19" i="5" s="1"/>
  <c r="W11" i="5"/>
  <c r="Z11" i="5" s="1"/>
  <c r="W10" i="5"/>
  <c r="Z10" i="5" s="1"/>
  <c r="W14" i="5"/>
  <c r="Z14" i="5" s="1"/>
  <c r="W17" i="5"/>
  <c r="Z17" i="5" s="1"/>
  <c r="W25" i="6"/>
  <c r="W21" i="6"/>
  <c r="W16" i="6"/>
  <c r="W14" i="6"/>
  <c r="W9" i="6"/>
  <c r="W13" i="6"/>
  <c r="W23" i="6"/>
  <c r="W17" i="6"/>
  <c r="W12" i="6"/>
  <c r="W11" i="6"/>
  <c r="W22" i="6"/>
  <c r="W20" i="6"/>
  <c r="W15" i="6"/>
  <c r="W10" i="6"/>
  <c r="W18" i="6"/>
  <c r="W19" i="6"/>
  <c r="W24" i="6"/>
  <c r="Z24" i="5"/>
  <c r="P26" i="4"/>
  <c r="Q22" i="4" s="1"/>
  <c r="AL7" i="4"/>
  <c r="AM7" i="4" s="1"/>
  <c r="AN7" i="4" s="1"/>
  <c r="AO7" i="4" s="1"/>
  <c r="AP7" i="4" s="1"/>
  <c r="AQ7" i="4" s="1"/>
  <c r="W26" i="5" l="1"/>
  <c r="X26" i="5" s="1"/>
  <c r="Z19" i="6"/>
  <c r="Z17" i="6"/>
  <c r="Z18" i="6"/>
  <c r="Z23" i="6"/>
  <c r="Z16" i="6"/>
  <c r="Z10" i="6"/>
  <c r="Z11" i="6"/>
  <c r="Z13" i="6"/>
  <c r="Z21" i="6"/>
  <c r="Z20" i="6"/>
  <c r="Z14" i="6"/>
  <c r="Z22" i="6"/>
  <c r="Z24" i="6"/>
  <c r="Z15" i="6"/>
  <c r="Z12" i="6"/>
  <c r="W26" i="6"/>
  <c r="X26" i="6" s="1"/>
  <c r="Z9" i="6"/>
  <c r="Z25" i="6"/>
  <c r="Y26" i="5"/>
  <c r="Q24" i="4"/>
  <c r="Q23" i="4"/>
  <c r="Q25" i="4"/>
  <c r="AR7" i="4"/>
  <c r="AS7" i="4" s="1"/>
  <c r="AT7" i="4" s="1"/>
  <c r="AU7" i="4" s="1"/>
  <c r="AV7" i="4" s="1"/>
  <c r="AW7" i="4" s="1"/>
  <c r="Q17" i="4"/>
  <c r="Q20" i="4"/>
  <c r="Q11" i="4"/>
  <c r="Q15" i="4"/>
  <c r="Q19" i="4"/>
  <c r="Q14" i="4"/>
  <c r="Q18" i="4"/>
  <c r="Q13" i="4"/>
  <c r="Q21" i="4"/>
  <c r="Q12" i="4"/>
  <c r="Q16" i="4"/>
  <c r="Q9" i="4"/>
  <c r="Q10" i="4"/>
  <c r="Y26" i="6" l="1"/>
  <c r="AA25" i="5"/>
  <c r="AB25" i="5" s="1"/>
  <c r="AA23" i="5"/>
  <c r="AB23" i="5" s="1"/>
  <c r="AA21" i="5"/>
  <c r="AB21" i="5" s="1"/>
  <c r="AA22" i="5"/>
  <c r="AB22" i="5" s="1"/>
  <c r="AA20" i="5"/>
  <c r="AB20" i="5" s="1"/>
  <c r="AA18" i="5"/>
  <c r="AB18" i="5" s="1"/>
  <c r="AA16" i="5"/>
  <c r="AB16" i="5" s="1"/>
  <c r="AA24" i="5"/>
  <c r="AB24" i="5" s="1"/>
  <c r="AA17" i="5"/>
  <c r="AB17" i="5" s="1"/>
  <c r="AA19" i="5"/>
  <c r="AB19" i="5" s="1"/>
  <c r="AA15" i="5"/>
  <c r="AB15" i="5" s="1"/>
  <c r="AA14" i="5"/>
  <c r="AB14" i="5" s="1"/>
  <c r="AA13" i="5"/>
  <c r="AB13" i="5" s="1"/>
  <c r="AA11" i="5"/>
  <c r="AB11" i="5" s="1"/>
  <c r="AA9" i="5"/>
  <c r="AB9" i="5" s="1"/>
  <c r="AA12" i="5"/>
  <c r="AB12" i="5" s="1"/>
  <c r="AA10" i="5"/>
  <c r="AB10" i="5" s="1"/>
  <c r="Q26" i="4"/>
  <c r="T25" i="4"/>
  <c r="T22" i="4"/>
  <c r="T24" i="4"/>
  <c r="T23" i="4"/>
  <c r="AX7" i="4"/>
  <c r="AY7" i="4" s="1"/>
  <c r="AZ7" i="4" s="1"/>
  <c r="BA7" i="4" s="1"/>
  <c r="BB7" i="4" s="1"/>
  <c r="BC7" i="4" s="1"/>
  <c r="T9" i="4"/>
  <c r="T12" i="4"/>
  <c r="T18" i="4"/>
  <c r="T11" i="4"/>
  <c r="T16" i="4"/>
  <c r="T19" i="4"/>
  <c r="T17" i="4"/>
  <c r="T15" i="4"/>
  <c r="T10" i="4"/>
  <c r="T13" i="4"/>
  <c r="T21" i="4"/>
  <c r="T14" i="4"/>
  <c r="T20" i="4"/>
  <c r="AA24" i="6" l="1"/>
  <c r="AB24" i="6" s="1"/>
  <c r="AA23" i="6"/>
  <c r="AB23" i="6" s="1"/>
  <c r="AA25" i="6"/>
  <c r="AB25" i="6" s="1"/>
  <c r="AA22" i="6"/>
  <c r="AB22" i="6" s="1"/>
  <c r="AA21" i="6"/>
  <c r="AB21" i="6" s="1"/>
  <c r="AA19" i="6"/>
  <c r="AB19" i="6" s="1"/>
  <c r="AA18" i="6"/>
  <c r="AB18" i="6" s="1"/>
  <c r="AA20" i="6"/>
  <c r="AB20" i="6" s="1"/>
  <c r="AA17" i="6"/>
  <c r="AB17" i="6" s="1"/>
  <c r="AA15" i="6"/>
  <c r="AB15" i="6" s="1"/>
  <c r="AA14" i="6"/>
  <c r="AB14" i="6" s="1"/>
  <c r="AA13" i="6"/>
  <c r="AB13" i="6" s="1"/>
  <c r="AA12" i="6"/>
  <c r="AB12" i="6" s="1"/>
  <c r="AA11" i="6"/>
  <c r="AB11" i="6" s="1"/>
  <c r="AA10" i="6"/>
  <c r="AB10" i="6" s="1"/>
  <c r="AA9" i="6"/>
  <c r="AB9" i="6" s="1"/>
  <c r="AA16" i="6"/>
  <c r="AB16" i="6" s="1"/>
  <c r="AB26" i="5"/>
  <c r="S26" i="4"/>
  <c r="BD7" i="4"/>
  <c r="BE7" i="4" s="1"/>
  <c r="BF7" i="4" s="1"/>
  <c r="BG7" i="4" s="1"/>
  <c r="BH7" i="4" s="1"/>
  <c r="BI7" i="4" s="1"/>
  <c r="R26" i="4"/>
  <c r="AB26" i="6" l="1"/>
  <c r="AC22" i="5"/>
  <c r="AC15" i="5"/>
  <c r="AC20" i="5"/>
  <c r="AC12" i="5"/>
  <c r="AC9" i="5"/>
  <c r="AC23" i="5"/>
  <c r="AC25" i="5"/>
  <c r="AC10" i="5"/>
  <c r="AC19" i="5"/>
  <c r="AC21" i="5"/>
  <c r="AC16" i="5"/>
  <c r="AC13" i="5"/>
  <c r="AC24" i="5"/>
  <c r="AC17" i="5"/>
  <c r="AC18" i="5"/>
  <c r="AC14" i="5"/>
  <c r="AC11" i="5"/>
  <c r="BJ7" i="4"/>
  <c r="BK7" i="4" s="1"/>
  <c r="BL7" i="4" s="1"/>
  <c r="BM7" i="4" s="1"/>
  <c r="BN7" i="4" s="1"/>
  <c r="BO7" i="4" s="1"/>
  <c r="AC25" i="6" l="1"/>
  <c r="AC22" i="6"/>
  <c r="AC17" i="6"/>
  <c r="AC14" i="6"/>
  <c r="AC11" i="6"/>
  <c r="AC24" i="6"/>
  <c r="AC12" i="6"/>
  <c r="AC23" i="6"/>
  <c r="AC19" i="6"/>
  <c r="AC18" i="6"/>
  <c r="AC13" i="6"/>
  <c r="AC21" i="6"/>
  <c r="AC16" i="6"/>
  <c r="AC10" i="6"/>
  <c r="AC9" i="6"/>
  <c r="AC20" i="6"/>
  <c r="AC15" i="6"/>
  <c r="AF13" i="5"/>
  <c r="AF12" i="5"/>
  <c r="AF18" i="5"/>
  <c r="AF16" i="5"/>
  <c r="AF25" i="5"/>
  <c r="AF20" i="5"/>
  <c r="AF17" i="5"/>
  <c r="AF21" i="5"/>
  <c r="AF23" i="5"/>
  <c r="AF15" i="5"/>
  <c r="AF14" i="5"/>
  <c r="AF10" i="5"/>
  <c r="AF11" i="5"/>
  <c r="AF24" i="5"/>
  <c r="AF19" i="5"/>
  <c r="AC26" i="5"/>
  <c r="AD26" i="5" s="1"/>
  <c r="AF9" i="5"/>
  <c r="AF22" i="5"/>
  <c r="U17" i="4"/>
  <c r="V17" i="4" s="1"/>
  <c r="U23" i="4"/>
  <c r="V23" i="4" s="1"/>
  <c r="U25" i="4"/>
  <c r="V25" i="4" s="1"/>
  <c r="U24" i="4"/>
  <c r="V24" i="4" s="1"/>
  <c r="U22" i="4"/>
  <c r="V22" i="4" s="1"/>
  <c r="BP7" i="4"/>
  <c r="BQ7" i="4" s="1"/>
  <c r="BR7" i="4" s="1"/>
  <c r="BS7" i="4" s="1"/>
  <c r="U20" i="4"/>
  <c r="V20" i="4" s="1"/>
  <c r="U21" i="4"/>
  <c r="V21" i="4" s="1"/>
  <c r="U19" i="4"/>
  <c r="V19" i="4" s="1"/>
  <c r="U15" i="4"/>
  <c r="V15" i="4" s="1"/>
  <c r="U13" i="4"/>
  <c r="V13" i="4" s="1"/>
  <c r="U11" i="4"/>
  <c r="V11" i="4" s="1"/>
  <c r="U14" i="4"/>
  <c r="V14" i="4" s="1"/>
  <c r="U12" i="4"/>
  <c r="V12" i="4" s="1"/>
  <c r="U18" i="4"/>
  <c r="V18" i="4" s="1"/>
  <c r="U16" i="4"/>
  <c r="V16" i="4" s="1"/>
  <c r="U10" i="4"/>
  <c r="V10" i="4" s="1"/>
  <c r="U9" i="4"/>
  <c r="AF10" i="6" l="1"/>
  <c r="AF20" i="6"/>
  <c r="AF21" i="6"/>
  <c r="AF23" i="6"/>
  <c r="AF14" i="6"/>
  <c r="AC26" i="6"/>
  <c r="AD26" i="6" s="1"/>
  <c r="AF9" i="6"/>
  <c r="AF13" i="6"/>
  <c r="AF12" i="6"/>
  <c r="AF17" i="6"/>
  <c r="AF18" i="6"/>
  <c r="AF24" i="6"/>
  <c r="AF22" i="6"/>
  <c r="AF15" i="6"/>
  <c r="AF16" i="6"/>
  <c r="AF19" i="6"/>
  <c r="AF11" i="6"/>
  <c r="AF25" i="6"/>
  <c r="AE26" i="5"/>
  <c r="V9" i="4"/>
  <c r="V26" i="4" s="1"/>
  <c r="BT7" i="4"/>
  <c r="BU7" i="4" s="1"/>
  <c r="BV7" i="4" s="1"/>
  <c r="BW7" i="4" s="1"/>
  <c r="BX7" i="4" s="1"/>
  <c r="BY7" i="4" s="1"/>
  <c r="BZ7" i="4" s="1"/>
  <c r="CA7" i="4" s="1"/>
  <c r="CB7" i="4" s="1"/>
  <c r="CC7" i="4" s="1"/>
  <c r="CD7" i="4" s="1"/>
  <c r="CE7" i="4" s="1"/>
  <c r="CF7" i="4" s="1"/>
  <c r="CG7" i="4" s="1"/>
  <c r="CH7" i="4" s="1"/>
  <c r="CI7" i="4" s="1"/>
  <c r="CJ7" i="4" s="1"/>
  <c r="CK7" i="4" s="1"/>
  <c r="CL7" i="4" s="1"/>
  <c r="CM7" i="4" s="1"/>
  <c r="CN7" i="4" s="1"/>
  <c r="CO7" i="4" s="1"/>
  <c r="CP7" i="4" s="1"/>
  <c r="CQ7" i="4" s="1"/>
  <c r="CR7" i="4" s="1"/>
  <c r="CS7" i="4" s="1"/>
  <c r="CT7" i="4" s="1"/>
  <c r="CU7" i="4" s="1"/>
  <c r="CV7" i="4" s="1"/>
  <c r="CW7" i="4" s="1"/>
  <c r="CX7" i="4" s="1"/>
  <c r="CY7" i="4" s="1"/>
  <c r="CZ7" i="4" s="1"/>
  <c r="DA7" i="4" s="1"/>
  <c r="DB7" i="4" s="1"/>
  <c r="DC7" i="4" s="1"/>
  <c r="DD7" i="4" s="1"/>
  <c r="DE7" i="4" s="1"/>
  <c r="DF7" i="4" s="1"/>
  <c r="DG7" i="4" s="1"/>
  <c r="DH7" i="4" s="1"/>
  <c r="DI7" i="4" s="1"/>
  <c r="DJ7" i="4" s="1"/>
  <c r="DK7" i="4" s="1"/>
  <c r="DL7" i="4" s="1"/>
  <c r="DM7" i="4" s="1"/>
  <c r="DN7" i="4" s="1"/>
  <c r="DO7" i="4" s="1"/>
  <c r="DP7" i="4" s="1"/>
  <c r="DQ7" i="4" s="1"/>
  <c r="DR7" i="4" s="1"/>
  <c r="DS7" i="4" s="1"/>
  <c r="DT7" i="4" s="1"/>
  <c r="DU7" i="4" s="1"/>
  <c r="DV7" i="4" s="1"/>
  <c r="DW7" i="4" s="1"/>
  <c r="DX7" i="4" s="1"/>
  <c r="DY7" i="4" s="1"/>
  <c r="DZ7" i="4" s="1"/>
  <c r="EA7" i="4" s="1"/>
  <c r="AE26" i="6" l="1"/>
  <c r="AG23" i="5"/>
  <c r="AH23" i="5" s="1"/>
  <c r="AG21" i="5"/>
  <c r="AH21" i="5" s="1"/>
  <c r="AG24" i="5"/>
  <c r="AH24" i="5" s="1"/>
  <c r="AG20" i="5"/>
  <c r="AH20" i="5" s="1"/>
  <c r="AG18" i="5"/>
  <c r="AH18" i="5" s="1"/>
  <c r="AG16" i="5"/>
  <c r="AH16" i="5" s="1"/>
  <c r="AG19" i="5"/>
  <c r="AH19" i="5" s="1"/>
  <c r="AG22" i="5"/>
  <c r="AH22" i="5" s="1"/>
  <c r="AG25" i="5"/>
  <c r="AH25" i="5" s="1"/>
  <c r="AG17" i="5"/>
  <c r="AH17" i="5" s="1"/>
  <c r="AG15" i="5"/>
  <c r="AH15" i="5" s="1"/>
  <c r="AG12" i="5"/>
  <c r="AH12" i="5" s="1"/>
  <c r="AG10" i="5"/>
  <c r="AH10" i="5" s="1"/>
  <c r="AG14" i="5"/>
  <c r="AH14" i="5" s="1"/>
  <c r="AG13" i="5"/>
  <c r="AH13" i="5" s="1"/>
  <c r="AG11" i="5"/>
  <c r="AH11" i="5" s="1"/>
  <c r="AG9" i="5"/>
  <c r="AH9" i="5" s="1"/>
  <c r="EB7" i="4"/>
  <c r="EC7" i="4" s="1"/>
  <c r="ED7" i="4" s="1"/>
  <c r="EE7" i="4" s="1"/>
  <c r="EF7" i="4" s="1"/>
  <c r="EG7" i="4" s="1"/>
  <c r="EH7" i="4" s="1"/>
  <c r="EI7" i="4" s="1"/>
  <c r="EJ7" i="4" s="1"/>
  <c r="EK7" i="4" s="1"/>
  <c r="EL7" i="4" s="1"/>
  <c r="EM7" i="4" s="1"/>
  <c r="EN7" i="4" s="1"/>
  <c r="EO7" i="4" s="1"/>
  <c r="EP7" i="4" s="1"/>
  <c r="EQ7" i="4" s="1"/>
  <c r="ER7" i="4" s="1"/>
  <c r="ES7" i="4" s="1"/>
  <c r="ET7" i="4" s="1"/>
  <c r="EU7" i="4" s="1"/>
  <c r="EV7" i="4" s="1"/>
  <c r="EW7" i="4" s="1"/>
  <c r="EX7" i="4" s="1"/>
  <c r="EY7" i="4" s="1"/>
  <c r="EZ7" i="4" s="1"/>
  <c r="FA7" i="4" s="1"/>
  <c r="FB7" i="4" s="1"/>
  <c r="FC7" i="4" s="1"/>
  <c r="FD7" i="4" s="1"/>
  <c r="FE7" i="4" s="1"/>
  <c r="FF7" i="4" s="1"/>
  <c r="FG7" i="4" s="1"/>
  <c r="FH7" i="4" s="1"/>
  <c r="FI7" i="4" s="1"/>
  <c r="FJ7" i="4" s="1"/>
  <c r="FK7" i="4" s="1"/>
  <c r="FL7" i="4" s="1"/>
  <c r="FM7" i="4" s="1"/>
  <c r="FN7" i="4" s="1"/>
  <c r="FO7" i="4" s="1"/>
  <c r="FP7" i="4" s="1"/>
  <c r="FQ7" i="4" s="1"/>
  <c r="FR7" i="4" s="1"/>
  <c r="FS7" i="4" s="1"/>
  <c r="FT7" i="4" s="1"/>
  <c r="FU7" i="4" s="1"/>
  <c r="FV7" i="4" s="1"/>
  <c r="FW7" i="4" s="1"/>
  <c r="FX7" i="4" s="1"/>
  <c r="FY7" i="4" s="1"/>
  <c r="FZ7" i="4" s="1"/>
  <c r="GA7" i="4" s="1"/>
  <c r="GB7" i="4" s="1"/>
  <c r="GC7" i="4" s="1"/>
  <c r="GD7" i="4" s="1"/>
  <c r="GE7" i="4" s="1"/>
  <c r="GF7" i="4" s="1"/>
  <c r="GG7" i="4" s="1"/>
  <c r="GH7" i="4" s="1"/>
  <c r="GI7" i="4" s="1"/>
  <c r="GJ7" i="4" s="1"/>
  <c r="GK7" i="4" s="1"/>
  <c r="GL7" i="4" s="1"/>
  <c r="GM7" i="4" s="1"/>
  <c r="GN7" i="4" s="1"/>
  <c r="GO7" i="4" s="1"/>
  <c r="W23" i="4"/>
  <c r="W25" i="4"/>
  <c r="W24" i="4"/>
  <c r="W22" i="4"/>
  <c r="W17" i="4"/>
  <c r="W20" i="4"/>
  <c r="W18" i="4"/>
  <c r="W16" i="4"/>
  <c r="W14" i="4"/>
  <c r="W12" i="4"/>
  <c r="W21" i="4"/>
  <c r="W19" i="4"/>
  <c r="W15" i="4"/>
  <c r="W13" i="4"/>
  <c r="W11" i="4"/>
  <c r="W9" i="4"/>
  <c r="W10" i="4"/>
  <c r="GP7" i="4" l="1"/>
  <c r="GQ7" i="4" s="1"/>
  <c r="AG25" i="6"/>
  <c r="AH25" i="6" s="1"/>
  <c r="AG24" i="6"/>
  <c r="AH24" i="6" s="1"/>
  <c r="AG23" i="6"/>
  <c r="AH23" i="6" s="1"/>
  <c r="AG22" i="6"/>
  <c r="AH22" i="6" s="1"/>
  <c r="AG20" i="6"/>
  <c r="AH20" i="6" s="1"/>
  <c r="AG21" i="6"/>
  <c r="AH21" i="6" s="1"/>
  <c r="AG18" i="6"/>
  <c r="AH18" i="6" s="1"/>
  <c r="AG16" i="6"/>
  <c r="AH16" i="6" s="1"/>
  <c r="AG19" i="6"/>
  <c r="AH19" i="6" s="1"/>
  <c r="AG14" i="6"/>
  <c r="AH14" i="6" s="1"/>
  <c r="AG13" i="6"/>
  <c r="AH13" i="6" s="1"/>
  <c r="AG12" i="6"/>
  <c r="AH12" i="6" s="1"/>
  <c r="AG11" i="6"/>
  <c r="AH11" i="6" s="1"/>
  <c r="AG10" i="6"/>
  <c r="AH10" i="6" s="1"/>
  <c r="AG9" i="6"/>
  <c r="AH9" i="6" s="1"/>
  <c r="AG15" i="6"/>
  <c r="AH15" i="6" s="1"/>
  <c r="AG17" i="6"/>
  <c r="AH17" i="6" s="1"/>
  <c r="AH26" i="5"/>
  <c r="Z24" i="4"/>
  <c r="Z25" i="4"/>
  <c r="Z23" i="4"/>
  <c r="W26" i="4"/>
  <c r="Z22" i="4"/>
  <c r="Z9" i="4"/>
  <c r="Z13" i="4"/>
  <c r="Z12" i="4"/>
  <c r="Z11" i="4"/>
  <c r="Z16" i="4"/>
  <c r="Z17" i="4"/>
  <c r="Z21" i="4"/>
  <c r="Z18" i="4"/>
  <c r="Z19" i="4"/>
  <c r="Z10" i="4"/>
  <c r="Z15" i="4"/>
  <c r="Z14" i="4"/>
  <c r="Z20" i="4"/>
  <c r="GR7" i="4" l="1"/>
  <c r="GS7" i="4" s="1"/>
  <c r="AH26" i="6"/>
  <c r="AI13" i="5"/>
  <c r="AI25" i="5"/>
  <c r="AI17" i="5"/>
  <c r="AI21" i="5"/>
  <c r="AI11" i="5"/>
  <c r="AI12" i="5"/>
  <c r="AI24" i="5"/>
  <c r="AI15" i="5"/>
  <c r="AI18" i="5"/>
  <c r="AI9" i="5"/>
  <c r="AI22" i="5"/>
  <c r="AI20" i="5"/>
  <c r="AI14" i="5"/>
  <c r="AI10" i="5"/>
  <c r="AI19" i="5"/>
  <c r="AI23" i="5"/>
  <c r="AI16" i="5"/>
  <c r="Y26" i="4"/>
  <c r="X26" i="4"/>
  <c r="AI24" i="6" l="1"/>
  <c r="AI22" i="6"/>
  <c r="AI21" i="6"/>
  <c r="AI17" i="6"/>
  <c r="AI14" i="6"/>
  <c r="AI11" i="6"/>
  <c r="AI25" i="6"/>
  <c r="AI20" i="6"/>
  <c r="AI16" i="6"/>
  <c r="AI10" i="6"/>
  <c r="AI23" i="6"/>
  <c r="AI19" i="6"/>
  <c r="AI15" i="6"/>
  <c r="AI9" i="6"/>
  <c r="AI18" i="6"/>
  <c r="AI12" i="6"/>
  <c r="AI13" i="6"/>
  <c r="AL20" i="5"/>
  <c r="AL15" i="5"/>
  <c r="AL21" i="5"/>
  <c r="AL19" i="5"/>
  <c r="AL22" i="5"/>
  <c r="AL24" i="5"/>
  <c r="AL17" i="5"/>
  <c r="AL10" i="5"/>
  <c r="AI26" i="5"/>
  <c r="AJ26" i="5" s="1"/>
  <c r="AL9" i="5"/>
  <c r="AL12" i="5"/>
  <c r="AL25" i="5"/>
  <c r="AL23" i="5"/>
  <c r="AL16" i="5"/>
  <c r="AL14" i="5"/>
  <c r="AL18" i="5"/>
  <c r="AL11" i="5"/>
  <c r="AL13" i="5"/>
  <c r="AA23" i="4"/>
  <c r="AB23" i="4" s="1"/>
  <c r="AA24" i="4"/>
  <c r="AB24" i="4" s="1"/>
  <c r="AA25" i="4"/>
  <c r="AB25" i="4" s="1"/>
  <c r="AA22" i="4"/>
  <c r="AB22" i="4" s="1"/>
  <c r="AA9" i="4"/>
  <c r="AB9" i="4" s="1"/>
  <c r="AA17" i="4"/>
  <c r="AB17" i="4" s="1"/>
  <c r="AA20" i="4"/>
  <c r="AB20" i="4" s="1"/>
  <c r="AA15" i="4"/>
  <c r="AB15" i="4" s="1"/>
  <c r="AA21" i="4"/>
  <c r="AB21" i="4" s="1"/>
  <c r="AA10" i="4"/>
  <c r="AB10" i="4" s="1"/>
  <c r="AA12" i="4"/>
  <c r="AB12" i="4" s="1"/>
  <c r="AA18" i="4"/>
  <c r="AB18" i="4" s="1"/>
  <c r="AA13" i="4"/>
  <c r="AB13" i="4" s="1"/>
  <c r="AA16" i="4"/>
  <c r="AB16" i="4" s="1"/>
  <c r="AA11" i="4"/>
  <c r="AB11" i="4" s="1"/>
  <c r="AA19" i="4"/>
  <c r="AB19" i="4" s="1"/>
  <c r="AA14" i="4"/>
  <c r="AB14" i="4" s="1"/>
  <c r="AL19" i="6" l="1"/>
  <c r="AL20" i="6"/>
  <c r="AL23" i="6"/>
  <c r="AL21" i="6"/>
  <c r="AI26" i="6"/>
  <c r="AJ26" i="6" s="1"/>
  <c r="AL9" i="6"/>
  <c r="AL10" i="6"/>
  <c r="AL11" i="6"/>
  <c r="AL22" i="6"/>
  <c r="AL12" i="6"/>
  <c r="AL17" i="6"/>
  <c r="AL18" i="6"/>
  <c r="AL25" i="6"/>
  <c r="AL13" i="6"/>
  <c r="AL15" i="6"/>
  <c r="AL16" i="6"/>
  <c r="AL14" i="6"/>
  <c r="AL24" i="6"/>
  <c r="AK26" i="5"/>
  <c r="AB26" i="4"/>
  <c r="AK26" i="6" l="1"/>
  <c r="AM23" i="5"/>
  <c r="AN23" i="5" s="1"/>
  <c r="AM21" i="5"/>
  <c r="AN21" i="5" s="1"/>
  <c r="AM20" i="5"/>
  <c r="AN20" i="5" s="1"/>
  <c r="AM18" i="5"/>
  <c r="AN18" i="5" s="1"/>
  <c r="AM16" i="5"/>
  <c r="AN16" i="5" s="1"/>
  <c r="AM25" i="5"/>
  <c r="AN25" i="5" s="1"/>
  <c r="AM22" i="5"/>
  <c r="AN22" i="5" s="1"/>
  <c r="AM15" i="5"/>
  <c r="AN15" i="5" s="1"/>
  <c r="AM14" i="5"/>
  <c r="AN14" i="5" s="1"/>
  <c r="AM12" i="5"/>
  <c r="AN12" i="5" s="1"/>
  <c r="AM10" i="5"/>
  <c r="AN10" i="5" s="1"/>
  <c r="AM19" i="5"/>
  <c r="AN19" i="5" s="1"/>
  <c r="AM17" i="5"/>
  <c r="AN17" i="5" s="1"/>
  <c r="AM13" i="5"/>
  <c r="AN13" i="5" s="1"/>
  <c r="AM11" i="5"/>
  <c r="AN11" i="5" s="1"/>
  <c r="AM9" i="5"/>
  <c r="AN9" i="5" s="1"/>
  <c r="AM24" i="5"/>
  <c r="AN24" i="5" s="1"/>
  <c r="AC23" i="4"/>
  <c r="AC25" i="4"/>
  <c r="AC24" i="4"/>
  <c r="AC22" i="4"/>
  <c r="AC17" i="4"/>
  <c r="AC20" i="4"/>
  <c r="AC19" i="4"/>
  <c r="AC14" i="4"/>
  <c r="AC12" i="4"/>
  <c r="AC15" i="4"/>
  <c r="AC9" i="4"/>
  <c r="AC18" i="4"/>
  <c r="AC13" i="4"/>
  <c r="AC10" i="4"/>
  <c r="AC16" i="4"/>
  <c r="AC11" i="4"/>
  <c r="AC21" i="4"/>
  <c r="AM25" i="6" l="1"/>
  <c r="AN25" i="6" s="1"/>
  <c r="AM24" i="6"/>
  <c r="AN24" i="6" s="1"/>
  <c r="AM23" i="6"/>
  <c r="AN23" i="6" s="1"/>
  <c r="AM21" i="6"/>
  <c r="AN21" i="6" s="1"/>
  <c r="AM19" i="6"/>
  <c r="AN19" i="6" s="1"/>
  <c r="AM17" i="6"/>
  <c r="AN17" i="6" s="1"/>
  <c r="AM14" i="6"/>
  <c r="AN14" i="6" s="1"/>
  <c r="AM13" i="6"/>
  <c r="AN13" i="6" s="1"/>
  <c r="AM12" i="6"/>
  <c r="AN12" i="6" s="1"/>
  <c r="AM11" i="6"/>
  <c r="AN11" i="6" s="1"/>
  <c r="AM10" i="6"/>
  <c r="AN10" i="6" s="1"/>
  <c r="AM9" i="6"/>
  <c r="AN9" i="6" s="1"/>
  <c r="AM20" i="6"/>
  <c r="AN20" i="6" s="1"/>
  <c r="AM18" i="6"/>
  <c r="AN18" i="6" s="1"/>
  <c r="AM16" i="6"/>
  <c r="AN16" i="6" s="1"/>
  <c r="AM22" i="6"/>
  <c r="AN22" i="6" s="1"/>
  <c r="AM15" i="6"/>
  <c r="AN15" i="6" s="1"/>
  <c r="AN26" i="5"/>
  <c r="AF24" i="4"/>
  <c r="AF25" i="4"/>
  <c r="AF23" i="4"/>
  <c r="AC26" i="4"/>
  <c r="AF22" i="4"/>
  <c r="AF16" i="4"/>
  <c r="AF9" i="4"/>
  <c r="AF21" i="4"/>
  <c r="AF12" i="4"/>
  <c r="AF19" i="4"/>
  <c r="AF15" i="4"/>
  <c r="AF10" i="4"/>
  <c r="AF18" i="4"/>
  <c r="AF17" i="4"/>
  <c r="AF11" i="4"/>
  <c r="AF13" i="4"/>
  <c r="AF14" i="4"/>
  <c r="AF20" i="4"/>
  <c r="AN26" i="6" l="1"/>
  <c r="AO19" i="6" s="1"/>
  <c r="AO22" i="5"/>
  <c r="AO18" i="5"/>
  <c r="AO9" i="5"/>
  <c r="AO14" i="5"/>
  <c r="AO19" i="5"/>
  <c r="AO21" i="5"/>
  <c r="AO23" i="5"/>
  <c r="AO12" i="5"/>
  <c r="AO17" i="5"/>
  <c r="AO20" i="5"/>
  <c r="AO13" i="5"/>
  <c r="AO10" i="5"/>
  <c r="AO24" i="5"/>
  <c r="AO15" i="5"/>
  <c r="AO16" i="5"/>
  <c r="AO11" i="5"/>
  <c r="AO25" i="5"/>
  <c r="AE26" i="4"/>
  <c r="AD26" i="4"/>
  <c r="AO11" i="6" l="1"/>
  <c r="AR11" i="6" s="1"/>
  <c r="AO15" i="6"/>
  <c r="AR15" i="6" s="1"/>
  <c r="AO25" i="6"/>
  <c r="AR25" i="6" s="1"/>
  <c r="AO12" i="6"/>
  <c r="AR12" i="6" s="1"/>
  <c r="AO22" i="6"/>
  <c r="AR22" i="6" s="1"/>
  <c r="AO9" i="6"/>
  <c r="AR9" i="6" s="1"/>
  <c r="AO23" i="6"/>
  <c r="AR23" i="6" s="1"/>
  <c r="AO10" i="6"/>
  <c r="AR10" i="6" s="1"/>
  <c r="AO13" i="6"/>
  <c r="AR13" i="6" s="1"/>
  <c r="AO20" i="6"/>
  <c r="AR20" i="6" s="1"/>
  <c r="AO16" i="6"/>
  <c r="AO14" i="6"/>
  <c r="AR14" i="6" s="1"/>
  <c r="AO18" i="6"/>
  <c r="AR18" i="6" s="1"/>
  <c r="AO24" i="6"/>
  <c r="AR24" i="6" s="1"/>
  <c r="AO21" i="6"/>
  <c r="AR21" i="6" s="1"/>
  <c r="AO17" i="6"/>
  <c r="AR17" i="6" s="1"/>
  <c r="AR19" i="6"/>
  <c r="AR15" i="5"/>
  <c r="AR21" i="5"/>
  <c r="AR11" i="5"/>
  <c r="AR10" i="5"/>
  <c r="AR12" i="5"/>
  <c r="AR14" i="5"/>
  <c r="AR16" i="5"/>
  <c r="AR13" i="5"/>
  <c r="AR23" i="5"/>
  <c r="AO26" i="5"/>
  <c r="AP26" i="5" s="1"/>
  <c r="AR9" i="5"/>
  <c r="AR20" i="5"/>
  <c r="AR18" i="5"/>
  <c r="AR25" i="5"/>
  <c r="AR24" i="5"/>
  <c r="AR17" i="5"/>
  <c r="AR19" i="5"/>
  <c r="AR22" i="5"/>
  <c r="AG17" i="4"/>
  <c r="AH17" i="4" s="1"/>
  <c r="AG24" i="4"/>
  <c r="AH24" i="4" s="1"/>
  <c r="AG23" i="4"/>
  <c r="AH23" i="4" s="1"/>
  <c r="AG25" i="4"/>
  <c r="AH25" i="4" s="1"/>
  <c r="AG22" i="4"/>
  <c r="AH22" i="4" s="1"/>
  <c r="AG10" i="4"/>
  <c r="AH10" i="4" s="1"/>
  <c r="AG18" i="4"/>
  <c r="AH18" i="4" s="1"/>
  <c r="AG12" i="4"/>
  <c r="AH12" i="4" s="1"/>
  <c r="AG16" i="4"/>
  <c r="AH16" i="4" s="1"/>
  <c r="AG13" i="4"/>
  <c r="AH13" i="4" s="1"/>
  <c r="AG21" i="4"/>
  <c r="AH21" i="4" s="1"/>
  <c r="AG20" i="4"/>
  <c r="AH20" i="4" s="1"/>
  <c r="AG14" i="4"/>
  <c r="AH14" i="4" s="1"/>
  <c r="AG19" i="4"/>
  <c r="AH19" i="4" s="1"/>
  <c r="AG11" i="4"/>
  <c r="AH11" i="4" s="1"/>
  <c r="AG9" i="4"/>
  <c r="AH9" i="4" s="1"/>
  <c r="AG15" i="4"/>
  <c r="AH15" i="4" s="1"/>
  <c r="AO26" i="6" l="1"/>
  <c r="AP26" i="6" s="1"/>
  <c r="AR16" i="6"/>
  <c r="AQ26" i="6" s="1"/>
  <c r="AQ26" i="5"/>
  <c r="AH26" i="4"/>
  <c r="AS24" i="6" l="1"/>
  <c r="AT24" i="6" s="1"/>
  <c r="AS23" i="6"/>
  <c r="AT23" i="6" s="1"/>
  <c r="AS25" i="6"/>
  <c r="AT25" i="6" s="1"/>
  <c r="AS22" i="6"/>
  <c r="AT22" i="6" s="1"/>
  <c r="AS18" i="6"/>
  <c r="AT18" i="6" s="1"/>
  <c r="AS20" i="6"/>
  <c r="AT20" i="6" s="1"/>
  <c r="AS16" i="6"/>
  <c r="AT16" i="6" s="1"/>
  <c r="AS15" i="6"/>
  <c r="AT15" i="6" s="1"/>
  <c r="AS14" i="6"/>
  <c r="AT14" i="6" s="1"/>
  <c r="AS13" i="6"/>
  <c r="AT13" i="6" s="1"/>
  <c r="AS12" i="6"/>
  <c r="AT12" i="6" s="1"/>
  <c r="AS11" i="6"/>
  <c r="AT11" i="6" s="1"/>
  <c r="AS10" i="6"/>
  <c r="AT10" i="6" s="1"/>
  <c r="AS9" i="6"/>
  <c r="AT9" i="6" s="1"/>
  <c r="AS21" i="6"/>
  <c r="AT21" i="6" s="1"/>
  <c r="AS19" i="6"/>
  <c r="AT19" i="6" s="1"/>
  <c r="AS17" i="6"/>
  <c r="AT17" i="6" s="1"/>
  <c r="AS23" i="5"/>
  <c r="AT23" i="5" s="1"/>
  <c r="AS21" i="5"/>
  <c r="AT21" i="5" s="1"/>
  <c r="AS20" i="5"/>
  <c r="AT20" i="5" s="1"/>
  <c r="AS18" i="5"/>
  <c r="AT18" i="5" s="1"/>
  <c r="AS16" i="5"/>
  <c r="AT16" i="5" s="1"/>
  <c r="AS25" i="5"/>
  <c r="AT25" i="5" s="1"/>
  <c r="AS15" i="5"/>
  <c r="AT15" i="5" s="1"/>
  <c r="AS24" i="5"/>
  <c r="AT24" i="5" s="1"/>
  <c r="AS19" i="5"/>
  <c r="AT19" i="5" s="1"/>
  <c r="AS17" i="5"/>
  <c r="AT17" i="5" s="1"/>
  <c r="AS13" i="5"/>
  <c r="AT13" i="5" s="1"/>
  <c r="AS22" i="5"/>
  <c r="AT22" i="5" s="1"/>
  <c r="AS12" i="5"/>
  <c r="AT12" i="5" s="1"/>
  <c r="AS10" i="5"/>
  <c r="AT10" i="5" s="1"/>
  <c r="AS14" i="5"/>
  <c r="AT14" i="5" s="1"/>
  <c r="AS11" i="5"/>
  <c r="AT11" i="5" s="1"/>
  <c r="AS9" i="5"/>
  <c r="AT9" i="5" s="1"/>
  <c r="AI24" i="4"/>
  <c r="AI22" i="4"/>
  <c r="AI25" i="4"/>
  <c r="AI23" i="4"/>
  <c r="AI17" i="4"/>
  <c r="AI20" i="4"/>
  <c r="AI19" i="4"/>
  <c r="AI14" i="4"/>
  <c r="AI15" i="4"/>
  <c r="AI16" i="4"/>
  <c r="AI13" i="4"/>
  <c r="AI10" i="4"/>
  <c r="AI9" i="4"/>
  <c r="AI11" i="4"/>
  <c r="AI21" i="4"/>
  <c r="AI18" i="4"/>
  <c r="AI12" i="4"/>
  <c r="AT26" i="6" l="1"/>
  <c r="AT26" i="5"/>
  <c r="AI26" i="4"/>
  <c r="AL24" i="4"/>
  <c r="AL25" i="4"/>
  <c r="AL23" i="4"/>
  <c r="AL22" i="4"/>
  <c r="AL12" i="4"/>
  <c r="AL13" i="4"/>
  <c r="AL14" i="4"/>
  <c r="AL15" i="4"/>
  <c r="AL10" i="4"/>
  <c r="AL21" i="4"/>
  <c r="AL16" i="4"/>
  <c r="AL17" i="4"/>
  <c r="AL11" i="4"/>
  <c r="AL19" i="4"/>
  <c r="AL18" i="4"/>
  <c r="AL9" i="4"/>
  <c r="AL20" i="4"/>
  <c r="AU17" i="6" l="1"/>
  <c r="AU22" i="6"/>
  <c r="AU19" i="6"/>
  <c r="AU15" i="6"/>
  <c r="AU14" i="6"/>
  <c r="AU9" i="6"/>
  <c r="AU24" i="6"/>
  <c r="AU23" i="6"/>
  <c r="AU10" i="6"/>
  <c r="AU21" i="6"/>
  <c r="AU18" i="6"/>
  <c r="AU13" i="6"/>
  <c r="AU25" i="6"/>
  <c r="AU20" i="6"/>
  <c r="AU16" i="6"/>
  <c r="AU12" i="6"/>
  <c r="AU11" i="6"/>
  <c r="AU24" i="5"/>
  <c r="AU21" i="5"/>
  <c r="AU16" i="5"/>
  <c r="AU18" i="5"/>
  <c r="AU12" i="5"/>
  <c r="AU22" i="5"/>
  <c r="AU19" i="5"/>
  <c r="AU23" i="5"/>
  <c r="AU11" i="5"/>
  <c r="AU10" i="5"/>
  <c r="AU25" i="5"/>
  <c r="AU15" i="5"/>
  <c r="AU14" i="5"/>
  <c r="AU13" i="5"/>
  <c r="AU17" i="5"/>
  <c r="AU20" i="5"/>
  <c r="AU9" i="5"/>
  <c r="AK26" i="4"/>
  <c r="AJ26" i="4"/>
  <c r="AX20" i="6" l="1"/>
  <c r="AX21" i="6"/>
  <c r="AU26" i="6"/>
  <c r="AV26" i="6" s="1"/>
  <c r="AX9" i="6"/>
  <c r="AX22" i="6"/>
  <c r="AX25" i="6"/>
  <c r="AX10" i="6"/>
  <c r="AX14" i="6"/>
  <c r="AX17" i="6"/>
  <c r="AX12" i="6"/>
  <c r="AX13" i="6"/>
  <c r="AX23" i="6"/>
  <c r="AX15" i="6"/>
  <c r="AX16" i="6"/>
  <c r="AX18" i="6"/>
  <c r="AX24" i="6"/>
  <c r="AX19" i="6"/>
  <c r="AX11" i="6"/>
  <c r="AX13" i="5"/>
  <c r="AX10" i="5"/>
  <c r="AX21" i="5"/>
  <c r="AX20" i="5"/>
  <c r="AX15" i="5"/>
  <c r="AX23" i="5"/>
  <c r="AX18" i="5"/>
  <c r="AX17" i="5"/>
  <c r="AX25" i="5"/>
  <c r="AX19" i="5"/>
  <c r="AX16" i="5"/>
  <c r="AX22" i="5"/>
  <c r="AU26" i="5"/>
  <c r="AV26" i="5" s="1"/>
  <c r="AX9" i="5"/>
  <c r="AX14" i="5"/>
  <c r="AX11" i="5"/>
  <c r="AX12" i="5"/>
  <c r="AX24" i="5"/>
  <c r="AM22" i="4"/>
  <c r="AN22" i="4" s="1"/>
  <c r="AM24" i="4"/>
  <c r="AN24" i="4" s="1"/>
  <c r="AM23" i="4"/>
  <c r="AN23" i="4" s="1"/>
  <c r="AM25" i="4"/>
  <c r="AN25" i="4" s="1"/>
  <c r="AM19" i="4"/>
  <c r="AN19" i="4" s="1"/>
  <c r="AM11" i="4"/>
  <c r="AN11" i="4" s="1"/>
  <c r="AM15" i="4"/>
  <c r="AN15" i="4" s="1"/>
  <c r="AM17" i="4"/>
  <c r="AN17" i="4" s="1"/>
  <c r="AM21" i="4"/>
  <c r="AN21" i="4" s="1"/>
  <c r="AM13" i="4"/>
  <c r="AN13" i="4" s="1"/>
  <c r="AM18" i="4"/>
  <c r="AN18" i="4" s="1"/>
  <c r="AM12" i="4"/>
  <c r="AN12" i="4" s="1"/>
  <c r="AM10" i="4"/>
  <c r="AN10" i="4" s="1"/>
  <c r="AM9" i="4"/>
  <c r="AN9" i="4" s="1"/>
  <c r="AM14" i="4"/>
  <c r="AN14" i="4" s="1"/>
  <c r="AM16" i="4"/>
  <c r="AN16" i="4" s="1"/>
  <c r="AM20" i="4"/>
  <c r="AN20" i="4" s="1"/>
  <c r="AW26" i="6" l="1"/>
  <c r="AW26" i="5"/>
  <c r="AY25" i="5" s="1"/>
  <c r="AZ25" i="5" s="1"/>
  <c r="AN26" i="4"/>
  <c r="AO22" i="4" s="1"/>
  <c r="AY24" i="6" l="1"/>
  <c r="AZ24" i="6" s="1"/>
  <c r="AY23" i="6"/>
  <c r="AZ23" i="6" s="1"/>
  <c r="AY22" i="6"/>
  <c r="AZ22" i="6" s="1"/>
  <c r="AY21" i="6"/>
  <c r="AZ21" i="6" s="1"/>
  <c r="AY19" i="6"/>
  <c r="AZ19" i="6" s="1"/>
  <c r="AY18" i="6"/>
  <c r="AZ18" i="6" s="1"/>
  <c r="AY20" i="6"/>
  <c r="AZ20" i="6" s="1"/>
  <c r="AY17" i="6"/>
  <c r="AZ17" i="6" s="1"/>
  <c r="AY15" i="6"/>
  <c r="AZ15" i="6" s="1"/>
  <c r="AY14" i="6"/>
  <c r="AZ14" i="6" s="1"/>
  <c r="AY13" i="6"/>
  <c r="AZ13" i="6" s="1"/>
  <c r="AY12" i="6"/>
  <c r="AZ12" i="6" s="1"/>
  <c r="AY11" i="6"/>
  <c r="AZ11" i="6" s="1"/>
  <c r="AY10" i="6"/>
  <c r="AZ10" i="6" s="1"/>
  <c r="AY9" i="6"/>
  <c r="AZ9" i="6" s="1"/>
  <c r="AY16" i="6"/>
  <c r="AZ16" i="6" s="1"/>
  <c r="AY25" i="6"/>
  <c r="AZ25" i="6" s="1"/>
  <c r="AY12" i="5"/>
  <c r="AZ12" i="5" s="1"/>
  <c r="AY11" i="5"/>
  <c r="AZ11" i="5" s="1"/>
  <c r="AY14" i="5"/>
  <c r="AZ14" i="5" s="1"/>
  <c r="AY22" i="5"/>
  <c r="AZ22" i="5" s="1"/>
  <c r="AY15" i="5"/>
  <c r="AZ15" i="5" s="1"/>
  <c r="AY19" i="5"/>
  <c r="AZ19" i="5" s="1"/>
  <c r="AY16" i="5"/>
  <c r="AZ16" i="5" s="1"/>
  <c r="AY21" i="5"/>
  <c r="AZ21" i="5" s="1"/>
  <c r="AY24" i="5"/>
  <c r="AZ24" i="5" s="1"/>
  <c r="AY13" i="5"/>
  <c r="AZ13" i="5" s="1"/>
  <c r="AY18" i="5"/>
  <c r="AZ18" i="5" s="1"/>
  <c r="AY23" i="5"/>
  <c r="AZ23" i="5" s="1"/>
  <c r="AY10" i="5"/>
  <c r="AZ10" i="5" s="1"/>
  <c r="AY9" i="5"/>
  <c r="AZ9" i="5" s="1"/>
  <c r="AY17" i="5"/>
  <c r="AZ17" i="5" s="1"/>
  <c r="AY20" i="5"/>
  <c r="AZ20" i="5" s="1"/>
  <c r="AO25" i="4"/>
  <c r="AR22" i="4"/>
  <c r="AO24" i="4"/>
  <c r="AO23" i="4"/>
  <c r="AO17" i="4"/>
  <c r="AO20" i="4"/>
  <c r="AO16" i="4"/>
  <c r="AO9" i="4"/>
  <c r="AO15" i="4"/>
  <c r="AO19" i="4"/>
  <c r="AO18" i="4"/>
  <c r="AO14" i="4"/>
  <c r="AO21" i="4"/>
  <c r="AO11" i="4"/>
  <c r="AO10" i="4"/>
  <c r="AO13" i="4"/>
  <c r="AO12" i="4"/>
  <c r="AZ26" i="5" l="1"/>
  <c r="BA9" i="5" s="1"/>
  <c r="AZ26" i="6"/>
  <c r="AR25" i="4"/>
  <c r="AO26" i="4"/>
  <c r="AR23" i="4"/>
  <c r="AR24" i="4"/>
  <c r="AR13" i="4"/>
  <c r="AR21" i="4"/>
  <c r="AR19" i="4"/>
  <c r="AR16" i="4"/>
  <c r="AR9" i="4"/>
  <c r="AR15" i="4"/>
  <c r="AR17" i="4"/>
  <c r="AR11" i="4"/>
  <c r="AR18" i="4"/>
  <c r="AR12" i="4"/>
  <c r="AR10" i="4"/>
  <c r="AR14" i="4"/>
  <c r="AR20" i="4"/>
  <c r="BA12" i="5" l="1"/>
  <c r="BD12" i="5" s="1"/>
  <c r="BA25" i="5"/>
  <c r="BD25" i="5" s="1"/>
  <c r="BA21" i="5"/>
  <c r="BD21" i="5" s="1"/>
  <c r="BA10" i="5"/>
  <c r="BD10" i="5" s="1"/>
  <c r="BA23" i="5"/>
  <c r="BD23" i="5" s="1"/>
  <c r="BA15" i="5"/>
  <c r="BD15" i="5" s="1"/>
  <c r="BA17" i="5"/>
  <c r="BD17" i="5" s="1"/>
  <c r="BA18" i="5"/>
  <c r="BD18" i="5" s="1"/>
  <c r="BA11" i="5"/>
  <c r="BD11" i="5" s="1"/>
  <c r="BA13" i="5"/>
  <c r="BA22" i="5"/>
  <c r="BD22" i="5" s="1"/>
  <c r="BA24" i="5"/>
  <c r="BD24" i="5" s="1"/>
  <c r="BA19" i="5"/>
  <c r="BD19" i="5" s="1"/>
  <c r="BA20" i="5"/>
  <c r="BD20" i="5" s="1"/>
  <c r="BA14" i="5"/>
  <c r="BD14" i="5" s="1"/>
  <c r="BA16" i="5"/>
  <c r="BD16" i="5" s="1"/>
  <c r="BA23" i="6"/>
  <c r="BA20" i="6"/>
  <c r="BA15" i="6"/>
  <c r="BA12" i="6"/>
  <c r="BA22" i="6"/>
  <c r="BA19" i="6"/>
  <c r="BA14" i="6"/>
  <c r="BA13" i="6"/>
  <c r="BA25" i="6"/>
  <c r="BA17" i="6"/>
  <c r="BA10" i="6"/>
  <c r="BA11" i="6"/>
  <c r="BA24" i="6"/>
  <c r="BA21" i="6"/>
  <c r="BA16" i="6"/>
  <c r="BA18" i="6"/>
  <c r="BA9" i="6"/>
  <c r="BD9" i="5"/>
  <c r="AQ26" i="4"/>
  <c r="AP26" i="4"/>
  <c r="BA26" i="5" l="1"/>
  <c r="BB26" i="5" s="1"/>
  <c r="BD13" i="5"/>
  <c r="BC26" i="5" s="1"/>
  <c r="BD17" i="6"/>
  <c r="BD19" i="6"/>
  <c r="BD20" i="6"/>
  <c r="BA26" i="6"/>
  <c r="BB26" i="6" s="1"/>
  <c r="BD9" i="6"/>
  <c r="BD24" i="6"/>
  <c r="BD25" i="6"/>
  <c r="BD22" i="6"/>
  <c r="BD23" i="6"/>
  <c r="BD18" i="6"/>
  <c r="BD11" i="6"/>
  <c r="BD13" i="6"/>
  <c r="BD12" i="6"/>
  <c r="BD16" i="6"/>
  <c r="BD10" i="6"/>
  <c r="BD14" i="6"/>
  <c r="BD15" i="6"/>
  <c r="BD21" i="6"/>
  <c r="AS21" i="4"/>
  <c r="AT21" i="4" s="1"/>
  <c r="AS23" i="4"/>
  <c r="AT23" i="4" s="1"/>
  <c r="AS25" i="4"/>
  <c r="AT25" i="4" s="1"/>
  <c r="AS22" i="4"/>
  <c r="AT22" i="4" s="1"/>
  <c r="AS24" i="4"/>
  <c r="AT24" i="4" s="1"/>
  <c r="AS18" i="4"/>
  <c r="AT18" i="4" s="1"/>
  <c r="AS10" i="4"/>
  <c r="AT10" i="4" s="1"/>
  <c r="AS16" i="4"/>
  <c r="AT16" i="4" s="1"/>
  <c r="AS15" i="4"/>
  <c r="AT15" i="4" s="1"/>
  <c r="AS14" i="4"/>
  <c r="AT14" i="4" s="1"/>
  <c r="AS20" i="4"/>
  <c r="AT20" i="4" s="1"/>
  <c r="AS12" i="4"/>
  <c r="AT12" i="4" s="1"/>
  <c r="AS9" i="4"/>
  <c r="AT9" i="4" s="1"/>
  <c r="AS17" i="4"/>
  <c r="AT17" i="4" s="1"/>
  <c r="AS11" i="4"/>
  <c r="AT11" i="4" s="1"/>
  <c r="AS13" i="4"/>
  <c r="AT13" i="4" s="1"/>
  <c r="AS19" i="4"/>
  <c r="AT19" i="4" s="1"/>
  <c r="BC26" i="6" l="1"/>
  <c r="BE23" i="5"/>
  <c r="BF23" i="5" s="1"/>
  <c r="BE21" i="5"/>
  <c r="BF21" i="5" s="1"/>
  <c r="BE25" i="5"/>
  <c r="BF25" i="5" s="1"/>
  <c r="BE24" i="5"/>
  <c r="BF24" i="5" s="1"/>
  <c r="BE20" i="5"/>
  <c r="BF20" i="5" s="1"/>
  <c r="BE18" i="5"/>
  <c r="BF18" i="5" s="1"/>
  <c r="BE16" i="5"/>
  <c r="BF16" i="5" s="1"/>
  <c r="BE14" i="5"/>
  <c r="BF14" i="5" s="1"/>
  <c r="BE22" i="5"/>
  <c r="BF22" i="5" s="1"/>
  <c r="BE19" i="5"/>
  <c r="BF19" i="5" s="1"/>
  <c r="BE17" i="5"/>
  <c r="BF17" i="5" s="1"/>
  <c r="BE15" i="5"/>
  <c r="BF15" i="5" s="1"/>
  <c r="BE13" i="5"/>
  <c r="BF13" i="5" s="1"/>
  <c r="BE12" i="5"/>
  <c r="BF12" i="5" s="1"/>
  <c r="BE10" i="5"/>
  <c r="BF10" i="5" s="1"/>
  <c r="BE11" i="5"/>
  <c r="BF11" i="5" s="1"/>
  <c r="BE9" i="5"/>
  <c r="BF9" i="5" s="1"/>
  <c r="AT26" i="4"/>
  <c r="BE25" i="6" l="1"/>
  <c r="BF25" i="6" s="1"/>
  <c r="BE24" i="6"/>
  <c r="BF24" i="6" s="1"/>
  <c r="BE23" i="6"/>
  <c r="BF23" i="6" s="1"/>
  <c r="BE22" i="6"/>
  <c r="BF22" i="6" s="1"/>
  <c r="BE20" i="6"/>
  <c r="BF20" i="6" s="1"/>
  <c r="BE21" i="6"/>
  <c r="BF21" i="6" s="1"/>
  <c r="BE16" i="6"/>
  <c r="BF16" i="6" s="1"/>
  <c r="BE19" i="6"/>
  <c r="BF19" i="6" s="1"/>
  <c r="BE14" i="6"/>
  <c r="BF14" i="6" s="1"/>
  <c r="BE13" i="6"/>
  <c r="BF13" i="6" s="1"/>
  <c r="BE12" i="6"/>
  <c r="BF12" i="6" s="1"/>
  <c r="BE11" i="6"/>
  <c r="BF11" i="6" s="1"/>
  <c r="BE10" i="6"/>
  <c r="BF10" i="6" s="1"/>
  <c r="BE9" i="6"/>
  <c r="BF9" i="6" s="1"/>
  <c r="BE15" i="6"/>
  <c r="BF15" i="6" s="1"/>
  <c r="BE18" i="6"/>
  <c r="BF18" i="6" s="1"/>
  <c r="BE17" i="6"/>
  <c r="BF17" i="6" s="1"/>
  <c r="BF26" i="5"/>
  <c r="AU22" i="4"/>
  <c r="AU24" i="4"/>
  <c r="AU23" i="4"/>
  <c r="AU25" i="4"/>
  <c r="AU17" i="4"/>
  <c r="AU20" i="4"/>
  <c r="AU10" i="4"/>
  <c r="AU14" i="4"/>
  <c r="AU21" i="4"/>
  <c r="AU16" i="4"/>
  <c r="AU15" i="4"/>
  <c r="AU12" i="4"/>
  <c r="AU11" i="4"/>
  <c r="AU18" i="4"/>
  <c r="AU19" i="4"/>
  <c r="AU13" i="4"/>
  <c r="AU9" i="4"/>
  <c r="BF26" i="6" l="1"/>
  <c r="BG18" i="6" s="1"/>
  <c r="BG25" i="5"/>
  <c r="BG17" i="5"/>
  <c r="BG21" i="5"/>
  <c r="BG9" i="5"/>
  <c r="BG14" i="5"/>
  <c r="BG24" i="5"/>
  <c r="BG15" i="5"/>
  <c r="BG18" i="5"/>
  <c r="BG16" i="5"/>
  <c r="BG22" i="5"/>
  <c r="BG23" i="5"/>
  <c r="BG13" i="5"/>
  <c r="BG12" i="5"/>
  <c r="BG19" i="5"/>
  <c r="BG20" i="5"/>
  <c r="BG11" i="5"/>
  <c r="BG10" i="5"/>
  <c r="AX24" i="4"/>
  <c r="AX22" i="4"/>
  <c r="AU26" i="4"/>
  <c r="AX25" i="4"/>
  <c r="AX23" i="4"/>
  <c r="AX13" i="4"/>
  <c r="AX12" i="4"/>
  <c r="AX14" i="4"/>
  <c r="AX11" i="4"/>
  <c r="AX16" i="4"/>
  <c r="AX10" i="4"/>
  <c r="AX17" i="4"/>
  <c r="AX21" i="4"/>
  <c r="AX18" i="4"/>
  <c r="AX9" i="4"/>
  <c r="AX19" i="4"/>
  <c r="AX15" i="4"/>
  <c r="AX20" i="4"/>
  <c r="BG24" i="6" l="1"/>
  <c r="BJ24" i="6" s="1"/>
  <c r="BG23" i="6"/>
  <c r="BJ23" i="6" s="1"/>
  <c r="BG25" i="6"/>
  <c r="BJ25" i="6" s="1"/>
  <c r="BG12" i="6"/>
  <c r="BJ12" i="6" s="1"/>
  <c r="BG9" i="6"/>
  <c r="BJ9" i="6" s="1"/>
  <c r="BG22" i="6"/>
  <c r="BJ22" i="6" s="1"/>
  <c r="BG17" i="6"/>
  <c r="BJ17" i="6" s="1"/>
  <c r="BG10" i="6"/>
  <c r="BJ10" i="6" s="1"/>
  <c r="BG16" i="6"/>
  <c r="BJ16" i="6" s="1"/>
  <c r="BG21" i="6"/>
  <c r="BJ21" i="6" s="1"/>
  <c r="BG19" i="6"/>
  <c r="BJ19" i="6" s="1"/>
  <c r="BG20" i="6"/>
  <c r="BJ20" i="6" s="1"/>
  <c r="BG11" i="6"/>
  <c r="BJ11" i="6" s="1"/>
  <c r="BG13" i="6"/>
  <c r="BJ13" i="6" s="1"/>
  <c r="BG15" i="6"/>
  <c r="BJ15" i="6" s="1"/>
  <c r="BG14" i="6"/>
  <c r="BJ14" i="6" s="1"/>
  <c r="BJ18" i="6"/>
  <c r="BJ11" i="5"/>
  <c r="BJ13" i="5"/>
  <c r="BJ18" i="5"/>
  <c r="BG26" i="5"/>
  <c r="BH26" i="5" s="1"/>
  <c r="BJ9" i="5"/>
  <c r="BJ20" i="5"/>
  <c r="BJ23" i="5"/>
  <c r="BJ15" i="5"/>
  <c r="BJ21" i="5"/>
  <c r="BJ19" i="5"/>
  <c r="BJ22" i="5"/>
  <c r="BJ24" i="5"/>
  <c r="BJ17" i="5"/>
  <c r="BJ10" i="5"/>
  <c r="BJ12" i="5"/>
  <c r="BJ16" i="5"/>
  <c r="BJ14" i="5"/>
  <c r="BJ25" i="5"/>
  <c r="AW26" i="4"/>
  <c r="AV26" i="4"/>
  <c r="BG26" i="6" l="1"/>
  <c r="BH26" i="6" s="1"/>
  <c r="BI26" i="6"/>
  <c r="BI26" i="5"/>
  <c r="AY22" i="4"/>
  <c r="AZ22" i="4" s="1"/>
  <c r="AY24" i="4"/>
  <c r="AZ24" i="4" s="1"/>
  <c r="AY23" i="4"/>
  <c r="AZ23" i="4" s="1"/>
  <c r="AY25" i="4"/>
  <c r="AZ25" i="4" s="1"/>
  <c r="AY14" i="4"/>
  <c r="AZ14" i="4" s="1"/>
  <c r="AY16" i="4"/>
  <c r="AZ16" i="4" s="1"/>
  <c r="AY13" i="4"/>
  <c r="AZ13" i="4" s="1"/>
  <c r="AY12" i="4"/>
  <c r="AZ12" i="4" s="1"/>
  <c r="AY18" i="4"/>
  <c r="AZ18" i="4" s="1"/>
  <c r="AY20" i="4"/>
  <c r="AZ20" i="4" s="1"/>
  <c r="AY10" i="4"/>
  <c r="AZ10" i="4" s="1"/>
  <c r="AY19" i="4"/>
  <c r="AZ19" i="4" s="1"/>
  <c r="AY11" i="4"/>
  <c r="AZ11" i="4" s="1"/>
  <c r="AY9" i="4"/>
  <c r="AZ9" i="4" s="1"/>
  <c r="AY15" i="4"/>
  <c r="AZ15" i="4" s="1"/>
  <c r="AY17" i="4"/>
  <c r="AZ17" i="4" s="1"/>
  <c r="AY21" i="4"/>
  <c r="AZ21" i="4" s="1"/>
  <c r="BK25" i="6" l="1"/>
  <c r="BL25" i="6" s="1"/>
  <c r="BK23" i="6"/>
  <c r="BL23" i="6" s="1"/>
  <c r="BK24" i="6"/>
  <c r="BL24" i="6" s="1"/>
  <c r="BK21" i="6"/>
  <c r="BL21" i="6" s="1"/>
  <c r="BK19" i="6"/>
  <c r="BL19" i="6" s="1"/>
  <c r="BK22" i="6"/>
  <c r="BL22" i="6" s="1"/>
  <c r="BK18" i="6"/>
  <c r="BL18" i="6" s="1"/>
  <c r="BK17" i="6"/>
  <c r="BL17" i="6" s="1"/>
  <c r="BK14" i="6"/>
  <c r="BL14" i="6" s="1"/>
  <c r="BK13" i="6"/>
  <c r="BL13" i="6" s="1"/>
  <c r="BK12" i="6"/>
  <c r="BL12" i="6" s="1"/>
  <c r="BK11" i="6"/>
  <c r="BL11" i="6" s="1"/>
  <c r="BK10" i="6"/>
  <c r="BL10" i="6" s="1"/>
  <c r="BK9" i="6"/>
  <c r="BL9" i="6" s="1"/>
  <c r="BK20" i="6"/>
  <c r="BL20" i="6" s="1"/>
  <c r="BK16" i="6"/>
  <c r="BL16" i="6" s="1"/>
  <c r="BK15" i="6"/>
  <c r="BL15" i="6" s="1"/>
  <c r="BK23" i="5"/>
  <c r="BL23" i="5" s="1"/>
  <c r="BK21" i="5"/>
  <c r="BL21" i="5" s="1"/>
  <c r="BK20" i="5"/>
  <c r="BL20" i="5" s="1"/>
  <c r="BK18" i="5"/>
  <c r="BL18" i="5" s="1"/>
  <c r="BK16" i="5"/>
  <c r="BL16" i="5" s="1"/>
  <c r="BK14" i="5"/>
  <c r="BL14" i="5" s="1"/>
  <c r="BK22" i="5"/>
  <c r="BL22" i="5" s="1"/>
  <c r="BK24" i="5"/>
  <c r="BL24" i="5" s="1"/>
  <c r="BK25" i="5"/>
  <c r="BL25" i="5" s="1"/>
  <c r="BK12" i="5"/>
  <c r="BL12" i="5" s="1"/>
  <c r="BK10" i="5"/>
  <c r="BL10" i="5" s="1"/>
  <c r="BK19" i="5"/>
  <c r="BL19" i="5" s="1"/>
  <c r="BK11" i="5"/>
  <c r="BL11" i="5" s="1"/>
  <c r="BK9" i="5"/>
  <c r="BL9" i="5" s="1"/>
  <c r="BK17" i="5"/>
  <c r="BL17" i="5" s="1"/>
  <c r="BK13" i="5"/>
  <c r="BL13" i="5" s="1"/>
  <c r="BK15" i="5"/>
  <c r="BL15" i="5" s="1"/>
  <c r="AZ26" i="4"/>
  <c r="BL26" i="6" l="1"/>
  <c r="BM21" i="6" s="1"/>
  <c r="BL26" i="5"/>
  <c r="BA24" i="4"/>
  <c r="BA22" i="4"/>
  <c r="BA25" i="4"/>
  <c r="BA23" i="4"/>
  <c r="BA17" i="4"/>
  <c r="BA20" i="4"/>
  <c r="BA10" i="4"/>
  <c r="BA12" i="4"/>
  <c r="BA11" i="4"/>
  <c r="BA19" i="4"/>
  <c r="BA9" i="4"/>
  <c r="BA14" i="4"/>
  <c r="BA21" i="4"/>
  <c r="BA13" i="4"/>
  <c r="BA18" i="4"/>
  <c r="BA15" i="4"/>
  <c r="BA16" i="4"/>
  <c r="BM19" i="6" l="1"/>
  <c r="BP19" i="6" s="1"/>
  <c r="BM14" i="6"/>
  <c r="BP14" i="6" s="1"/>
  <c r="BM16" i="6"/>
  <c r="BP16" i="6" s="1"/>
  <c r="BM10" i="6"/>
  <c r="BP10" i="6" s="1"/>
  <c r="BM23" i="6"/>
  <c r="BP23" i="6" s="1"/>
  <c r="BM15" i="6"/>
  <c r="BP15" i="6" s="1"/>
  <c r="BM17" i="6"/>
  <c r="BP17" i="6" s="1"/>
  <c r="BM18" i="6"/>
  <c r="BP18" i="6" s="1"/>
  <c r="BM20" i="6"/>
  <c r="BM24" i="6"/>
  <c r="BP24" i="6" s="1"/>
  <c r="BM25" i="6"/>
  <c r="BP25" i="6" s="1"/>
  <c r="BM22" i="6"/>
  <c r="BP22" i="6" s="1"/>
  <c r="BM9" i="6"/>
  <c r="BP9" i="6" s="1"/>
  <c r="BM11" i="6"/>
  <c r="BP11" i="6" s="1"/>
  <c r="BM13" i="6"/>
  <c r="BP13" i="6" s="1"/>
  <c r="BM12" i="6"/>
  <c r="BP12" i="6" s="1"/>
  <c r="BP20" i="6"/>
  <c r="BP21" i="6"/>
  <c r="BM24" i="5"/>
  <c r="BM15" i="5"/>
  <c r="BM21" i="5"/>
  <c r="BM11" i="5"/>
  <c r="BM22" i="5"/>
  <c r="BM25" i="5"/>
  <c r="BM20" i="5"/>
  <c r="BM12" i="5"/>
  <c r="BM9" i="5"/>
  <c r="BM19" i="5"/>
  <c r="BM23" i="5"/>
  <c r="BM18" i="5"/>
  <c r="BM10" i="5"/>
  <c r="BM17" i="5"/>
  <c r="BM14" i="5"/>
  <c r="BM13" i="5"/>
  <c r="BM16" i="5"/>
  <c r="BA26" i="4"/>
  <c r="BD23" i="4"/>
  <c r="BD25" i="4"/>
  <c r="BD24" i="4"/>
  <c r="BD22" i="4"/>
  <c r="BD18" i="4"/>
  <c r="BD9" i="4"/>
  <c r="BD20" i="4"/>
  <c r="BD15" i="4"/>
  <c r="BD10" i="4"/>
  <c r="BD14" i="4"/>
  <c r="BD11" i="4"/>
  <c r="BD21" i="4"/>
  <c r="BD16" i="4"/>
  <c r="BD13" i="4"/>
  <c r="BD19" i="4"/>
  <c r="BD12" i="4"/>
  <c r="BD17" i="4"/>
  <c r="BM26" i="6" l="1"/>
  <c r="BN26" i="6" s="1"/>
  <c r="BO26" i="6"/>
  <c r="BP13" i="5"/>
  <c r="BP18" i="5"/>
  <c r="BP12" i="5"/>
  <c r="BP11" i="5"/>
  <c r="BP14" i="5"/>
  <c r="BP23" i="5"/>
  <c r="BP20" i="5"/>
  <c r="BP21" i="5"/>
  <c r="BP17" i="5"/>
  <c r="BP19" i="5"/>
  <c r="BP25" i="5"/>
  <c r="BP15" i="5"/>
  <c r="BP16" i="5"/>
  <c r="BP10" i="5"/>
  <c r="BM26" i="5"/>
  <c r="BN26" i="5" s="1"/>
  <c r="BP9" i="5"/>
  <c r="BP22" i="5"/>
  <c r="BP24" i="5"/>
  <c r="BC26" i="4"/>
  <c r="BB26" i="4"/>
  <c r="BQ23" i="6" l="1"/>
  <c r="BR23" i="6" s="1"/>
  <c r="BQ24" i="6"/>
  <c r="BR24" i="6" s="1"/>
  <c r="BQ25" i="6"/>
  <c r="BR25" i="6" s="1"/>
  <c r="BQ22" i="6"/>
  <c r="BR22" i="6" s="1"/>
  <c r="BQ18" i="6"/>
  <c r="BR18" i="6" s="1"/>
  <c r="BQ20" i="6"/>
  <c r="BR20" i="6" s="1"/>
  <c r="BQ16" i="6"/>
  <c r="BR16" i="6" s="1"/>
  <c r="BQ15" i="6"/>
  <c r="BR15" i="6" s="1"/>
  <c r="BQ14" i="6"/>
  <c r="BR14" i="6" s="1"/>
  <c r="BQ13" i="6"/>
  <c r="BR13" i="6" s="1"/>
  <c r="BQ12" i="6"/>
  <c r="BR12" i="6" s="1"/>
  <c r="BQ11" i="6"/>
  <c r="BR11" i="6" s="1"/>
  <c r="BQ10" i="6"/>
  <c r="BR10" i="6" s="1"/>
  <c r="BQ9" i="6"/>
  <c r="BR9" i="6" s="1"/>
  <c r="BQ21" i="6"/>
  <c r="BR21" i="6" s="1"/>
  <c r="BQ19" i="6"/>
  <c r="BR19" i="6" s="1"/>
  <c r="BQ17" i="6"/>
  <c r="BR17" i="6" s="1"/>
  <c r="BO26" i="5"/>
  <c r="BE23" i="4"/>
  <c r="BF23" i="4" s="1"/>
  <c r="BE25" i="4"/>
  <c r="BF25" i="4" s="1"/>
  <c r="BE22" i="4"/>
  <c r="BF22" i="4" s="1"/>
  <c r="BE24" i="4"/>
  <c r="BF24" i="4" s="1"/>
  <c r="BE17" i="4"/>
  <c r="BF17" i="4" s="1"/>
  <c r="BE14" i="4"/>
  <c r="BF14" i="4" s="1"/>
  <c r="BE11" i="4"/>
  <c r="BF11" i="4" s="1"/>
  <c r="BE13" i="4"/>
  <c r="BF13" i="4" s="1"/>
  <c r="BE19" i="4"/>
  <c r="BF19" i="4" s="1"/>
  <c r="BE21" i="4"/>
  <c r="BF21" i="4" s="1"/>
  <c r="BE12" i="4"/>
  <c r="BF12" i="4" s="1"/>
  <c r="BE10" i="4"/>
  <c r="BF10" i="4" s="1"/>
  <c r="BE15" i="4"/>
  <c r="BF15" i="4" s="1"/>
  <c r="BE20" i="4"/>
  <c r="BF20" i="4" s="1"/>
  <c r="BE9" i="4"/>
  <c r="BF9" i="4" s="1"/>
  <c r="BE16" i="4"/>
  <c r="BF16" i="4" s="1"/>
  <c r="BE18" i="4"/>
  <c r="BF18" i="4" s="1"/>
  <c r="BR26" i="6" l="1"/>
  <c r="BQ23" i="5"/>
  <c r="BR23" i="5" s="1"/>
  <c r="BQ21" i="5"/>
  <c r="BR21" i="5" s="1"/>
  <c r="BQ25" i="5"/>
  <c r="BR25" i="5" s="1"/>
  <c r="BQ20" i="5"/>
  <c r="BR20" i="5" s="1"/>
  <c r="BQ18" i="5"/>
  <c r="BR18" i="5" s="1"/>
  <c r="BQ16" i="5"/>
  <c r="BR16" i="5" s="1"/>
  <c r="BQ14" i="5"/>
  <c r="BR14" i="5" s="1"/>
  <c r="BQ24" i="5"/>
  <c r="BR24" i="5" s="1"/>
  <c r="BQ22" i="5"/>
  <c r="BR22" i="5" s="1"/>
  <c r="BQ15" i="5"/>
  <c r="BR15" i="5" s="1"/>
  <c r="BQ19" i="5"/>
  <c r="BR19" i="5" s="1"/>
  <c r="BQ17" i="5"/>
  <c r="BR17" i="5" s="1"/>
  <c r="BQ13" i="5"/>
  <c r="BR13" i="5" s="1"/>
  <c r="BQ11" i="5"/>
  <c r="BR11" i="5" s="1"/>
  <c r="BQ9" i="5"/>
  <c r="BR9" i="5" s="1"/>
  <c r="BQ12" i="5"/>
  <c r="BR12" i="5" s="1"/>
  <c r="BQ10" i="5"/>
  <c r="BR10" i="5" s="1"/>
  <c r="BF26" i="4"/>
  <c r="BS24" i="6" l="1"/>
  <c r="BS21" i="6"/>
  <c r="BS16" i="6"/>
  <c r="BS10" i="6"/>
  <c r="BS9" i="6"/>
  <c r="BS22" i="6"/>
  <c r="BS20" i="6"/>
  <c r="BS15" i="6"/>
  <c r="BS18" i="6"/>
  <c r="BS19" i="6"/>
  <c r="BS12" i="6"/>
  <c r="BS13" i="6"/>
  <c r="BS25" i="6"/>
  <c r="BS23" i="6"/>
  <c r="BS17" i="6"/>
  <c r="BS14" i="6"/>
  <c r="BS11" i="6"/>
  <c r="BR26" i="5"/>
  <c r="BG24" i="4"/>
  <c r="BG25" i="4"/>
  <c r="BG23" i="4"/>
  <c r="BG22" i="4"/>
  <c r="BG20" i="4"/>
  <c r="BG17" i="4"/>
  <c r="BG21" i="4"/>
  <c r="BG19" i="4"/>
  <c r="BG10" i="4"/>
  <c r="BG18" i="4"/>
  <c r="BG14" i="4"/>
  <c r="BG12" i="4"/>
  <c r="BG13" i="4"/>
  <c r="BG9" i="4"/>
  <c r="BG11" i="4"/>
  <c r="BG15" i="4"/>
  <c r="BG16" i="4"/>
  <c r="BV23" i="6" l="1"/>
  <c r="BV19" i="6"/>
  <c r="BV22" i="6"/>
  <c r="BV21" i="6"/>
  <c r="BV11" i="6"/>
  <c r="BV18" i="6"/>
  <c r="BS26" i="6"/>
  <c r="BT26" i="6" s="1"/>
  <c r="BV9" i="6"/>
  <c r="BV24" i="6"/>
  <c r="BV14" i="6"/>
  <c r="BV13" i="6"/>
  <c r="BV15" i="6"/>
  <c r="BV10" i="6"/>
  <c r="BV17" i="6"/>
  <c r="BV12" i="6"/>
  <c r="BV20" i="6"/>
  <c r="BV16" i="6"/>
  <c r="BV25" i="6"/>
  <c r="BS19" i="5"/>
  <c r="BS23" i="5"/>
  <c r="BS25" i="5"/>
  <c r="BS9" i="5"/>
  <c r="BS24" i="5"/>
  <c r="BS17" i="5"/>
  <c r="BS16" i="5"/>
  <c r="BS14" i="5"/>
  <c r="BS12" i="5"/>
  <c r="BS22" i="5"/>
  <c r="BS15" i="5"/>
  <c r="BS20" i="5"/>
  <c r="BS13" i="5"/>
  <c r="BS10" i="5"/>
  <c r="BS21" i="5"/>
  <c r="BS18" i="5"/>
  <c r="BS11" i="5"/>
  <c r="BJ24" i="4"/>
  <c r="BG26" i="4"/>
  <c r="BJ23" i="4"/>
  <c r="BJ22" i="4"/>
  <c r="BJ25" i="4"/>
  <c r="BJ14" i="4"/>
  <c r="BJ21" i="4"/>
  <c r="BJ20" i="4"/>
  <c r="BJ16" i="4"/>
  <c r="BJ9" i="4"/>
  <c r="BJ10" i="4"/>
  <c r="BJ17" i="4"/>
  <c r="BJ15" i="4"/>
  <c r="BJ12" i="4"/>
  <c r="BJ19" i="4"/>
  <c r="BJ11" i="4"/>
  <c r="BJ13" i="4"/>
  <c r="BJ18" i="4"/>
  <c r="BU26" i="6" l="1"/>
  <c r="BV22" i="5"/>
  <c r="BV18" i="5"/>
  <c r="BV20" i="5"/>
  <c r="BV14" i="5"/>
  <c r="BS26" i="5"/>
  <c r="BT26" i="5" s="1"/>
  <c r="BV9" i="5"/>
  <c r="BV21" i="5"/>
  <c r="BV15" i="5"/>
  <c r="BV16" i="5"/>
  <c r="BV25" i="5"/>
  <c r="BV10" i="5"/>
  <c r="BV17" i="5"/>
  <c r="BV23" i="5"/>
  <c r="BV11" i="5"/>
  <c r="BV13" i="5"/>
  <c r="BV12" i="5"/>
  <c r="BV24" i="5"/>
  <c r="BV19" i="5"/>
  <c r="BI26" i="4"/>
  <c r="BH26" i="4"/>
  <c r="BW24" i="6" l="1"/>
  <c r="BX24" i="6" s="1"/>
  <c r="BW23" i="6"/>
  <c r="BX23" i="6" s="1"/>
  <c r="BW25" i="6"/>
  <c r="BX25" i="6" s="1"/>
  <c r="BW22" i="6"/>
  <c r="BX22" i="6" s="1"/>
  <c r="BW21" i="6"/>
  <c r="BX21" i="6" s="1"/>
  <c r="BW19" i="6"/>
  <c r="BX19" i="6" s="1"/>
  <c r="BW18" i="6"/>
  <c r="BX18" i="6" s="1"/>
  <c r="BW20" i="6"/>
  <c r="BX20" i="6" s="1"/>
  <c r="BW17" i="6"/>
  <c r="BX17" i="6" s="1"/>
  <c r="BW15" i="6"/>
  <c r="BX15" i="6" s="1"/>
  <c r="BW14" i="6"/>
  <c r="BX14" i="6" s="1"/>
  <c r="BW13" i="6"/>
  <c r="BX13" i="6" s="1"/>
  <c r="BW12" i="6"/>
  <c r="BX12" i="6" s="1"/>
  <c r="BW11" i="6"/>
  <c r="BX11" i="6" s="1"/>
  <c r="BW10" i="6"/>
  <c r="BX10" i="6" s="1"/>
  <c r="BW9" i="6"/>
  <c r="BX9" i="6" s="1"/>
  <c r="BW16" i="6"/>
  <c r="BX16" i="6" s="1"/>
  <c r="BU26" i="5"/>
  <c r="BK24" i="4"/>
  <c r="BL24" i="4" s="1"/>
  <c r="BK23" i="4"/>
  <c r="BL23" i="4" s="1"/>
  <c r="BK25" i="4"/>
  <c r="BL25" i="4" s="1"/>
  <c r="BK22" i="4"/>
  <c r="BL22" i="4" s="1"/>
  <c r="BK14" i="4"/>
  <c r="BL14" i="4" s="1"/>
  <c r="BK20" i="4"/>
  <c r="BL20" i="4" s="1"/>
  <c r="BK13" i="4"/>
  <c r="BL13" i="4" s="1"/>
  <c r="BK11" i="4"/>
  <c r="BL11" i="4" s="1"/>
  <c r="BK12" i="4"/>
  <c r="BL12" i="4" s="1"/>
  <c r="BK17" i="4"/>
  <c r="BL17" i="4" s="1"/>
  <c r="BK19" i="4"/>
  <c r="BL19" i="4" s="1"/>
  <c r="BK18" i="4"/>
  <c r="BL18" i="4" s="1"/>
  <c r="BK9" i="4"/>
  <c r="BL9" i="4" s="1"/>
  <c r="BK10" i="4"/>
  <c r="BL10" i="4" s="1"/>
  <c r="BK15" i="4"/>
  <c r="BL15" i="4" s="1"/>
  <c r="BK16" i="4"/>
  <c r="BL16" i="4" s="1"/>
  <c r="BK21" i="4"/>
  <c r="BL21" i="4" s="1"/>
  <c r="BX26" i="6" l="1"/>
  <c r="BW25" i="5"/>
  <c r="BX25" i="5" s="1"/>
  <c r="BW23" i="5"/>
  <c r="BX23" i="5" s="1"/>
  <c r="BW21" i="5"/>
  <c r="BX21" i="5" s="1"/>
  <c r="BW22" i="5"/>
  <c r="BX22" i="5" s="1"/>
  <c r="BW20" i="5"/>
  <c r="BX20" i="5" s="1"/>
  <c r="BW18" i="5"/>
  <c r="BX18" i="5" s="1"/>
  <c r="BW16" i="5"/>
  <c r="BX16" i="5" s="1"/>
  <c r="BW14" i="5"/>
  <c r="BX14" i="5" s="1"/>
  <c r="BW24" i="5"/>
  <c r="BX24" i="5" s="1"/>
  <c r="BW17" i="5"/>
  <c r="BX17" i="5" s="1"/>
  <c r="BW19" i="5"/>
  <c r="BX19" i="5" s="1"/>
  <c r="BW13" i="5"/>
  <c r="BX13" i="5" s="1"/>
  <c r="BW11" i="5"/>
  <c r="BX11" i="5" s="1"/>
  <c r="BW9" i="5"/>
  <c r="BX9" i="5" s="1"/>
  <c r="BW15" i="5"/>
  <c r="BX15" i="5" s="1"/>
  <c r="BW12" i="5"/>
  <c r="BX12" i="5" s="1"/>
  <c r="BW10" i="5"/>
  <c r="BX10" i="5" s="1"/>
  <c r="BL26" i="4"/>
  <c r="BY17" i="6" l="1"/>
  <c r="BY23" i="6"/>
  <c r="BY20" i="6"/>
  <c r="BY15" i="6"/>
  <c r="BY12" i="6"/>
  <c r="BY22" i="6"/>
  <c r="BY19" i="6"/>
  <c r="BY18" i="6"/>
  <c r="BY13" i="6"/>
  <c r="BY25" i="6"/>
  <c r="BY24" i="6"/>
  <c r="BY14" i="6"/>
  <c r="BY11" i="6"/>
  <c r="BY21" i="6"/>
  <c r="BY16" i="6"/>
  <c r="BY10" i="6"/>
  <c r="BY9" i="6"/>
  <c r="BX26" i="5"/>
  <c r="BY17" i="5" s="1"/>
  <c r="BM24" i="4"/>
  <c r="BM22" i="4"/>
  <c r="BM23" i="4"/>
  <c r="BM25" i="4"/>
  <c r="BM20" i="4"/>
  <c r="BM17" i="4"/>
  <c r="BM9" i="4"/>
  <c r="BM12" i="4"/>
  <c r="BM19" i="4"/>
  <c r="BM13" i="4"/>
  <c r="BM10" i="4"/>
  <c r="BM11" i="4"/>
  <c r="BM16" i="4"/>
  <c r="BM21" i="4"/>
  <c r="BM15" i="4"/>
  <c r="BM14" i="4"/>
  <c r="BM18" i="4"/>
  <c r="BY9" i="5" l="1"/>
  <c r="CB9" i="5" s="1"/>
  <c r="BY14" i="5"/>
  <c r="CB14" i="5" s="1"/>
  <c r="BY16" i="5"/>
  <c r="CB16" i="5" s="1"/>
  <c r="BY25" i="5"/>
  <c r="CB25" i="5" s="1"/>
  <c r="BY23" i="5"/>
  <c r="CB23" i="5" s="1"/>
  <c r="BY24" i="5"/>
  <c r="CB24" i="5" s="1"/>
  <c r="BY13" i="5"/>
  <c r="CB13" i="5" s="1"/>
  <c r="BY15" i="5"/>
  <c r="CB15" i="5" s="1"/>
  <c r="BY21" i="5"/>
  <c r="CB21" i="5" s="1"/>
  <c r="BY20" i="5"/>
  <c r="CB20" i="5" s="1"/>
  <c r="BY18" i="5"/>
  <c r="CB18" i="5" s="1"/>
  <c r="BY10" i="5"/>
  <c r="CB10" i="5" s="1"/>
  <c r="BY12" i="5"/>
  <c r="CB12" i="5" s="1"/>
  <c r="CB21" i="6"/>
  <c r="CB25" i="6"/>
  <c r="CB22" i="6"/>
  <c r="CB23" i="6"/>
  <c r="CB11" i="6"/>
  <c r="CB13" i="6"/>
  <c r="CB12" i="6"/>
  <c r="CB17" i="6"/>
  <c r="CB10" i="6"/>
  <c r="CB14" i="6"/>
  <c r="CB18" i="6"/>
  <c r="CB15" i="6"/>
  <c r="CB16" i="6"/>
  <c r="CB24" i="6"/>
  <c r="CB19" i="6"/>
  <c r="CB20" i="6"/>
  <c r="BY26" i="6"/>
  <c r="BZ26" i="6" s="1"/>
  <c r="CB9" i="6"/>
  <c r="BY19" i="5"/>
  <c r="CB19" i="5" s="1"/>
  <c r="BY11" i="5"/>
  <c r="CB11" i="5" s="1"/>
  <c r="BY22" i="5"/>
  <c r="CB22" i="5" s="1"/>
  <c r="CB17" i="5"/>
  <c r="BM26" i="4"/>
  <c r="BP22" i="4"/>
  <c r="BP24" i="4"/>
  <c r="BP23" i="4"/>
  <c r="BP25" i="4"/>
  <c r="BP16" i="4"/>
  <c r="BP19" i="4"/>
  <c r="BP20" i="4"/>
  <c r="BP18" i="4"/>
  <c r="BP13" i="4"/>
  <c r="BP10" i="4"/>
  <c r="BP9" i="4"/>
  <c r="BP21" i="4"/>
  <c r="BP17" i="4"/>
  <c r="BP15" i="4"/>
  <c r="BP14" i="4"/>
  <c r="BP11" i="4"/>
  <c r="BP12" i="4"/>
  <c r="BY26" i="5" l="1"/>
  <c r="BZ26" i="5" s="1"/>
  <c r="CA26" i="6"/>
  <c r="CA26" i="5"/>
  <c r="BO26" i="4"/>
  <c r="BN26" i="4"/>
  <c r="CC25" i="6" l="1"/>
  <c r="CD25" i="6" s="1"/>
  <c r="CC24" i="6"/>
  <c r="CD24" i="6" s="1"/>
  <c r="CC23" i="6"/>
  <c r="CD23" i="6" s="1"/>
  <c r="CC22" i="6"/>
  <c r="CD22" i="6" s="1"/>
  <c r="CC20" i="6"/>
  <c r="CD20" i="6" s="1"/>
  <c r="CC21" i="6"/>
  <c r="CD21" i="6" s="1"/>
  <c r="CC18" i="6"/>
  <c r="CD18" i="6" s="1"/>
  <c r="CC16" i="6"/>
  <c r="CD16" i="6" s="1"/>
  <c r="CC19" i="6"/>
  <c r="CD19" i="6" s="1"/>
  <c r="CC14" i="6"/>
  <c r="CD14" i="6" s="1"/>
  <c r="CC13" i="6"/>
  <c r="CD13" i="6" s="1"/>
  <c r="CC12" i="6"/>
  <c r="CD12" i="6" s="1"/>
  <c r="CC11" i="6"/>
  <c r="CD11" i="6" s="1"/>
  <c r="CC10" i="6"/>
  <c r="CD10" i="6" s="1"/>
  <c r="CC9" i="6"/>
  <c r="CD9" i="6" s="1"/>
  <c r="CC15" i="6"/>
  <c r="CD15" i="6" s="1"/>
  <c r="CC17" i="6"/>
  <c r="CD17" i="6" s="1"/>
  <c r="CC23" i="5"/>
  <c r="CD23" i="5" s="1"/>
  <c r="CC21" i="5"/>
  <c r="CD21" i="5" s="1"/>
  <c r="CC20" i="5"/>
  <c r="CD20" i="5" s="1"/>
  <c r="CC18" i="5"/>
  <c r="CD18" i="5" s="1"/>
  <c r="CC16" i="5"/>
  <c r="CD16" i="5" s="1"/>
  <c r="CC14" i="5"/>
  <c r="CD14" i="5" s="1"/>
  <c r="CC25" i="5"/>
  <c r="CD25" i="5" s="1"/>
  <c r="CC24" i="5"/>
  <c r="CD24" i="5" s="1"/>
  <c r="CC19" i="5"/>
  <c r="CD19" i="5" s="1"/>
  <c r="CC15" i="5"/>
  <c r="CD15" i="5" s="1"/>
  <c r="CC22" i="5"/>
  <c r="CD22" i="5" s="1"/>
  <c r="CC17" i="5"/>
  <c r="CD17" i="5" s="1"/>
  <c r="CC13" i="5"/>
  <c r="CD13" i="5" s="1"/>
  <c r="CC11" i="5"/>
  <c r="CD11" i="5" s="1"/>
  <c r="CC9" i="5"/>
  <c r="CD9" i="5" s="1"/>
  <c r="CC12" i="5"/>
  <c r="CD12" i="5" s="1"/>
  <c r="CC10" i="5"/>
  <c r="CD10" i="5" s="1"/>
  <c r="BQ23" i="4"/>
  <c r="BR23" i="4" s="1"/>
  <c r="BQ25" i="4"/>
  <c r="BR25" i="4" s="1"/>
  <c r="BQ22" i="4"/>
  <c r="BR22" i="4" s="1"/>
  <c r="BQ24" i="4"/>
  <c r="BR24" i="4" s="1"/>
  <c r="BQ13" i="4"/>
  <c r="BR13" i="4" s="1"/>
  <c r="BQ12" i="4"/>
  <c r="BR12" i="4" s="1"/>
  <c r="BQ15" i="4"/>
  <c r="BR15" i="4" s="1"/>
  <c r="BQ14" i="4"/>
  <c r="BR14" i="4" s="1"/>
  <c r="BQ19" i="4"/>
  <c r="BR19" i="4" s="1"/>
  <c r="BQ10" i="4"/>
  <c r="BR10" i="4" s="1"/>
  <c r="BQ20" i="4"/>
  <c r="BR20" i="4" s="1"/>
  <c r="BQ9" i="4"/>
  <c r="BR9" i="4" s="1"/>
  <c r="BQ17" i="4"/>
  <c r="BR17" i="4" s="1"/>
  <c r="BQ11" i="4"/>
  <c r="BR11" i="4" s="1"/>
  <c r="BQ16" i="4"/>
  <c r="BR16" i="4" s="1"/>
  <c r="BQ18" i="4"/>
  <c r="BR18" i="4" s="1"/>
  <c r="BQ21" i="4"/>
  <c r="BR21" i="4" s="1"/>
  <c r="CD26" i="6" l="1"/>
  <c r="CD26" i="5"/>
  <c r="BR26" i="4"/>
  <c r="BS25" i="4" s="1"/>
  <c r="CE24" i="6" l="1"/>
  <c r="CE21" i="6"/>
  <c r="CE17" i="6"/>
  <c r="CE14" i="6"/>
  <c r="CE11" i="6"/>
  <c r="CE22" i="6"/>
  <c r="CE20" i="6"/>
  <c r="CE16" i="6"/>
  <c r="CE10" i="6"/>
  <c r="CE25" i="6"/>
  <c r="CE19" i="6"/>
  <c r="CE15" i="6"/>
  <c r="CE9" i="6"/>
  <c r="CE23" i="6"/>
  <c r="CE18" i="6"/>
  <c r="CE12" i="6"/>
  <c r="CE13" i="6"/>
  <c r="CE25" i="5"/>
  <c r="CE15" i="5"/>
  <c r="CE13" i="5"/>
  <c r="CE24" i="5"/>
  <c r="CE14" i="5"/>
  <c r="CE22" i="5"/>
  <c r="CE21" i="5"/>
  <c r="CE18" i="5"/>
  <c r="CE23" i="5"/>
  <c r="CE19" i="5"/>
  <c r="CE20" i="5"/>
  <c r="CE11" i="5"/>
  <c r="CE12" i="5"/>
  <c r="CE17" i="5"/>
  <c r="CE16" i="5"/>
  <c r="CE9" i="5"/>
  <c r="CE10" i="5"/>
  <c r="BS24" i="4"/>
  <c r="BS23" i="4"/>
  <c r="BV25" i="4"/>
  <c r="BS22" i="4"/>
  <c r="BS17" i="4"/>
  <c r="BS20" i="4"/>
  <c r="BS13" i="4"/>
  <c r="BS16" i="4"/>
  <c r="BS12" i="4"/>
  <c r="BS11" i="4"/>
  <c r="BS18" i="4"/>
  <c r="BS15" i="4"/>
  <c r="BS10" i="4"/>
  <c r="BS9" i="4"/>
  <c r="BS14" i="4"/>
  <c r="BS19" i="4"/>
  <c r="BS21" i="4"/>
  <c r="CH23" i="6" l="1"/>
  <c r="CH25" i="6"/>
  <c r="CH22" i="6"/>
  <c r="CH21" i="6"/>
  <c r="CH13" i="6"/>
  <c r="CH10" i="6"/>
  <c r="CH11" i="6"/>
  <c r="CH24" i="6"/>
  <c r="CH12" i="6"/>
  <c r="CH15" i="6"/>
  <c r="CH16" i="6"/>
  <c r="CH14" i="6"/>
  <c r="CH18" i="6"/>
  <c r="CH19" i="6"/>
  <c r="CH20" i="6"/>
  <c r="CH17" i="6"/>
  <c r="CE26" i="6"/>
  <c r="CF26" i="6" s="1"/>
  <c r="CH9" i="6"/>
  <c r="CH11" i="5"/>
  <c r="CH18" i="5"/>
  <c r="CH24" i="5"/>
  <c r="CH16" i="5"/>
  <c r="CH20" i="5"/>
  <c r="CH21" i="5"/>
  <c r="CH13" i="5"/>
  <c r="CH17" i="5"/>
  <c r="CH19" i="5"/>
  <c r="CH22" i="5"/>
  <c r="CH15" i="5"/>
  <c r="CE26" i="5"/>
  <c r="CF26" i="5" s="1"/>
  <c r="CH9" i="5"/>
  <c r="CH10" i="5"/>
  <c r="CH12" i="5"/>
  <c r="CH23" i="5"/>
  <c r="CH14" i="5"/>
  <c r="CH25" i="5"/>
  <c r="BV24" i="4"/>
  <c r="BV23" i="4"/>
  <c r="BS26" i="4"/>
  <c r="BV22" i="4"/>
  <c r="BV21" i="4"/>
  <c r="BV17" i="4"/>
  <c r="BV12" i="4"/>
  <c r="BV13" i="4"/>
  <c r="BV10" i="4"/>
  <c r="BV9" i="4"/>
  <c r="BV11" i="4"/>
  <c r="BV20" i="4"/>
  <c r="BV14" i="4"/>
  <c r="BV18" i="4"/>
  <c r="BV19" i="4"/>
  <c r="BV15" i="4"/>
  <c r="BV16" i="4"/>
  <c r="BT26" i="4" l="1"/>
  <c r="CG26" i="6"/>
  <c r="CG26" i="5"/>
  <c r="BU26" i="4"/>
  <c r="CI25" i="6" l="1"/>
  <c r="CJ25" i="6" s="1"/>
  <c r="CI23" i="6"/>
  <c r="CJ23" i="6" s="1"/>
  <c r="CI24" i="6"/>
  <c r="CJ24" i="6" s="1"/>
  <c r="CI21" i="6"/>
  <c r="CJ21" i="6" s="1"/>
  <c r="CI19" i="6"/>
  <c r="CJ19" i="6" s="1"/>
  <c r="CI17" i="6"/>
  <c r="CJ17" i="6" s="1"/>
  <c r="CI14" i="6"/>
  <c r="CJ14" i="6" s="1"/>
  <c r="CI13" i="6"/>
  <c r="CJ13" i="6" s="1"/>
  <c r="CI12" i="6"/>
  <c r="CJ12" i="6" s="1"/>
  <c r="CI11" i="6"/>
  <c r="CJ11" i="6" s="1"/>
  <c r="CI10" i="6"/>
  <c r="CJ10" i="6" s="1"/>
  <c r="CI9" i="6"/>
  <c r="CJ9" i="6" s="1"/>
  <c r="CI20" i="6"/>
  <c r="CJ20" i="6" s="1"/>
  <c r="CI18" i="6"/>
  <c r="CJ18" i="6" s="1"/>
  <c r="CI16" i="6"/>
  <c r="CJ16" i="6" s="1"/>
  <c r="CI22" i="6"/>
  <c r="CJ22" i="6" s="1"/>
  <c r="CI15" i="6"/>
  <c r="CJ15" i="6" s="1"/>
  <c r="CI24" i="5"/>
  <c r="CJ24" i="5" s="1"/>
  <c r="CI23" i="5"/>
  <c r="CJ23" i="5" s="1"/>
  <c r="CI21" i="5"/>
  <c r="CJ21" i="5" s="1"/>
  <c r="CI20" i="5"/>
  <c r="CJ20" i="5" s="1"/>
  <c r="CI18" i="5"/>
  <c r="CJ18" i="5" s="1"/>
  <c r="CI16" i="5"/>
  <c r="CJ16" i="5" s="1"/>
  <c r="CI14" i="5"/>
  <c r="CJ14" i="5" s="1"/>
  <c r="CI25" i="5"/>
  <c r="CJ25" i="5" s="1"/>
  <c r="CI19" i="5"/>
  <c r="CJ19" i="5" s="1"/>
  <c r="CI17" i="5"/>
  <c r="CJ17" i="5" s="1"/>
  <c r="CI22" i="5"/>
  <c r="CJ22" i="5" s="1"/>
  <c r="CI15" i="5"/>
  <c r="CJ15" i="5" s="1"/>
  <c r="CI13" i="5"/>
  <c r="CJ13" i="5" s="1"/>
  <c r="CI12" i="5"/>
  <c r="CJ12" i="5" s="1"/>
  <c r="CI10" i="5"/>
  <c r="CJ10" i="5" s="1"/>
  <c r="CI11" i="5"/>
  <c r="CJ11" i="5" s="1"/>
  <c r="CI9" i="5"/>
  <c r="CJ9" i="5" s="1"/>
  <c r="BW19" i="4"/>
  <c r="BX19" i="4" s="1"/>
  <c r="BW20" i="4"/>
  <c r="BX20" i="4" s="1"/>
  <c r="BW17" i="4"/>
  <c r="BX17" i="4" s="1"/>
  <c r="BW15" i="4"/>
  <c r="BX15" i="4" s="1"/>
  <c r="BW24" i="4"/>
  <c r="BX24" i="4" s="1"/>
  <c r="BW16" i="4"/>
  <c r="BX16" i="4" s="1"/>
  <c r="BW12" i="4"/>
  <c r="BX12" i="4" s="1"/>
  <c r="BW25" i="4"/>
  <c r="BX25" i="4" s="1"/>
  <c r="BW13" i="4"/>
  <c r="BX13" i="4" s="1"/>
  <c r="BW10" i="4"/>
  <c r="BX10" i="4" s="1"/>
  <c r="BW22" i="4"/>
  <c r="BX22" i="4" s="1"/>
  <c r="BW21" i="4"/>
  <c r="BX21" i="4" s="1"/>
  <c r="BW9" i="4"/>
  <c r="BX9" i="4" s="1"/>
  <c r="BW14" i="4"/>
  <c r="BX14" i="4" s="1"/>
  <c r="BW18" i="4"/>
  <c r="BX18" i="4" s="1"/>
  <c r="BW11" i="4"/>
  <c r="BX11" i="4" s="1"/>
  <c r="BW23" i="4"/>
  <c r="BX23" i="4" s="1"/>
  <c r="CJ26" i="6" l="1"/>
  <c r="CJ26" i="5"/>
  <c r="BX26" i="4"/>
  <c r="BY24" i="4" s="1"/>
  <c r="CK22" i="6" l="1"/>
  <c r="CK19" i="6"/>
  <c r="CK13" i="6"/>
  <c r="CK21" i="6"/>
  <c r="CK17" i="6"/>
  <c r="CK10" i="6"/>
  <c r="CK9" i="6"/>
  <c r="CK25" i="6"/>
  <c r="CK20" i="6"/>
  <c r="CK16" i="6"/>
  <c r="CK12" i="6"/>
  <c r="CK15" i="6"/>
  <c r="CK24" i="6"/>
  <c r="CK23" i="6"/>
  <c r="CK18" i="6"/>
  <c r="CK14" i="6"/>
  <c r="CK11" i="6"/>
  <c r="CK22" i="5"/>
  <c r="CK17" i="5"/>
  <c r="CK21" i="5"/>
  <c r="CK16" i="5"/>
  <c r="CK12" i="5"/>
  <c r="CK15" i="5"/>
  <c r="CK20" i="5"/>
  <c r="CK11" i="5"/>
  <c r="CK10" i="5"/>
  <c r="CK19" i="5"/>
  <c r="CK24" i="5"/>
  <c r="CK18" i="5"/>
  <c r="CK13" i="5"/>
  <c r="CK25" i="5"/>
  <c r="CK14" i="5"/>
  <c r="CK23" i="5"/>
  <c r="CK9" i="5"/>
  <c r="CB24" i="4"/>
  <c r="BY17" i="4"/>
  <c r="BY9" i="4"/>
  <c r="BY15" i="4"/>
  <c r="BY20" i="4"/>
  <c r="BY18" i="4"/>
  <c r="BY12" i="4"/>
  <c r="BY21" i="4"/>
  <c r="BY16" i="4"/>
  <c r="BY10" i="4"/>
  <c r="BY13" i="4"/>
  <c r="BY14" i="4"/>
  <c r="BY19" i="4"/>
  <c r="BY11" i="4"/>
  <c r="BY25" i="4"/>
  <c r="BY22" i="4"/>
  <c r="BY23" i="4"/>
  <c r="CB19" i="4" l="1"/>
  <c r="CB11" i="4"/>
  <c r="CN16" i="6"/>
  <c r="CN19" i="6"/>
  <c r="CN24" i="6"/>
  <c r="CN20" i="6"/>
  <c r="CN17" i="6"/>
  <c r="CN22" i="6"/>
  <c r="CN14" i="6"/>
  <c r="CN15" i="6"/>
  <c r="CN25" i="6"/>
  <c r="CN21" i="6"/>
  <c r="CN23" i="6"/>
  <c r="CN10" i="6"/>
  <c r="CN11" i="6"/>
  <c r="CN18" i="6"/>
  <c r="CN12" i="6"/>
  <c r="CK26" i="6"/>
  <c r="CL26" i="6" s="1"/>
  <c r="CN9" i="6"/>
  <c r="CN13" i="6"/>
  <c r="CN23" i="5"/>
  <c r="CN18" i="5"/>
  <c r="CN16" i="5"/>
  <c r="CN14" i="5"/>
  <c r="CN24" i="5"/>
  <c r="CN20" i="5"/>
  <c r="CN21" i="5"/>
  <c r="CN25" i="5"/>
  <c r="CN19" i="5"/>
  <c r="CN15" i="5"/>
  <c r="CN17" i="5"/>
  <c r="CN11" i="5"/>
  <c r="CK26" i="5"/>
  <c r="CL26" i="5" s="1"/>
  <c r="CN9" i="5"/>
  <c r="CN13" i="5"/>
  <c r="CN10" i="5"/>
  <c r="CN12" i="5"/>
  <c r="CN22" i="5"/>
  <c r="CB14" i="4"/>
  <c r="CB13" i="4"/>
  <c r="CB21" i="4"/>
  <c r="CB20" i="4"/>
  <c r="CB17" i="4"/>
  <c r="CB25" i="4"/>
  <c r="CB23" i="4"/>
  <c r="CB16" i="4"/>
  <c r="CB18" i="4"/>
  <c r="CB15" i="4"/>
  <c r="CB22" i="4"/>
  <c r="CB10" i="4"/>
  <c r="CB12" i="4"/>
  <c r="CB9" i="4"/>
  <c r="BY26" i="4"/>
  <c r="BZ26" i="4" l="1"/>
  <c r="CM26" i="6"/>
  <c r="CM26" i="5"/>
  <c r="CO21" i="5" s="1"/>
  <c r="CP21" i="5" s="1"/>
  <c r="CA26" i="4"/>
  <c r="CC24" i="4" s="1"/>
  <c r="CD24" i="4" s="1"/>
  <c r="CO10" i="5" l="1"/>
  <c r="CP10" i="5" s="1"/>
  <c r="CO11" i="5"/>
  <c r="CP11" i="5" s="1"/>
  <c r="CO23" i="6"/>
  <c r="CP23" i="6" s="1"/>
  <c r="CO24" i="6"/>
  <c r="CP24" i="6" s="1"/>
  <c r="CO22" i="6"/>
  <c r="CP22" i="6" s="1"/>
  <c r="CO20" i="6"/>
  <c r="CP20" i="6" s="1"/>
  <c r="CO18" i="6"/>
  <c r="CP18" i="6" s="1"/>
  <c r="CO16" i="6"/>
  <c r="CP16" i="6" s="1"/>
  <c r="CO15" i="6"/>
  <c r="CP15" i="6" s="1"/>
  <c r="CO25" i="6"/>
  <c r="CP25" i="6" s="1"/>
  <c r="CO14" i="6"/>
  <c r="CP14" i="6" s="1"/>
  <c r="CO13" i="6"/>
  <c r="CP13" i="6" s="1"/>
  <c r="CO12" i="6"/>
  <c r="CP12" i="6" s="1"/>
  <c r="CO11" i="6"/>
  <c r="CP11" i="6" s="1"/>
  <c r="CO10" i="6"/>
  <c r="CP10" i="6" s="1"/>
  <c r="CO9" i="6"/>
  <c r="CP9" i="6" s="1"/>
  <c r="CO21" i="6"/>
  <c r="CP21" i="6" s="1"/>
  <c r="CO19" i="6"/>
  <c r="CP19" i="6" s="1"/>
  <c r="CO17" i="6"/>
  <c r="CP17" i="6" s="1"/>
  <c r="CO22" i="5"/>
  <c r="CP22" i="5" s="1"/>
  <c r="CO18" i="5"/>
  <c r="CP18" i="5" s="1"/>
  <c r="CO23" i="5"/>
  <c r="CP23" i="5" s="1"/>
  <c r="CO12" i="5"/>
  <c r="CP12" i="5" s="1"/>
  <c r="CO17" i="5"/>
  <c r="CP17" i="5" s="1"/>
  <c r="CO15" i="5"/>
  <c r="CP15" i="5" s="1"/>
  <c r="CO20" i="5"/>
  <c r="CP20" i="5" s="1"/>
  <c r="CO13" i="5"/>
  <c r="CP13" i="5" s="1"/>
  <c r="CO19" i="5"/>
  <c r="CP19" i="5" s="1"/>
  <c r="CO14" i="5"/>
  <c r="CP14" i="5" s="1"/>
  <c r="CO24" i="5"/>
  <c r="CP24" i="5" s="1"/>
  <c r="CO9" i="5"/>
  <c r="CP9" i="5" s="1"/>
  <c r="CO25" i="5"/>
  <c r="CP25" i="5" s="1"/>
  <c r="CO16" i="5"/>
  <c r="CP16" i="5" s="1"/>
  <c r="CC12" i="4"/>
  <c r="CD12" i="4" s="1"/>
  <c r="CC16" i="4"/>
  <c r="CD16" i="4" s="1"/>
  <c r="CC9" i="4"/>
  <c r="CD9" i="4" s="1"/>
  <c r="CC22" i="4"/>
  <c r="CD22" i="4" s="1"/>
  <c r="CC10" i="4"/>
  <c r="CD10" i="4" s="1"/>
  <c r="CC14" i="4"/>
  <c r="CD14" i="4" s="1"/>
  <c r="CC25" i="4"/>
  <c r="CD25" i="4" s="1"/>
  <c r="CC13" i="4"/>
  <c r="CD13" i="4" s="1"/>
  <c r="CC17" i="4"/>
  <c r="CD17" i="4" s="1"/>
  <c r="CC15" i="4"/>
  <c r="CD15" i="4" s="1"/>
  <c r="CC19" i="4"/>
  <c r="CD19" i="4" s="1"/>
  <c r="CC23" i="4"/>
  <c r="CD23" i="4" s="1"/>
  <c r="CC21" i="4"/>
  <c r="CD21" i="4" s="1"/>
  <c r="CC11" i="4"/>
  <c r="CD11" i="4" s="1"/>
  <c r="CC20" i="4"/>
  <c r="CD20" i="4" s="1"/>
  <c r="CC18" i="4"/>
  <c r="CD18" i="4" s="1"/>
  <c r="CP26" i="6" l="1"/>
  <c r="CQ20" i="6" s="1"/>
  <c r="CP26" i="5"/>
  <c r="CQ12" i="5" s="1"/>
  <c r="CD26" i="4"/>
  <c r="CE9" i="4" s="1"/>
  <c r="CQ20" i="5" l="1"/>
  <c r="CT20" i="5" s="1"/>
  <c r="CQ16" i="6"/>
  <c r="CT16" i="6" s="1"/>
  <c r="CQ25" i="5"/>
  <c r="CT25" i="5" s="1"/>
  <c r="CQ22" i="5"/>
  <c r="CT22" i="5" s="1"/>
  <c r="CQ23" i="6"/>
  <c r="CT23" i="6" s="1"/>
  <c r="CQ14" i="5"/>
  <c r="CT14" i="5" s="1"/>
  <c r="CQ22" i="6"/>
  <c r="CT22" i="6" s="1"/>
  <c r="CQ24" i="6"/>
  <c r="CT24" i="6" s="1"/>
  <c r="CQ21" i="6"/>
  <c r="CT21" i="6" s="1"/>
  <c r="CQ11" i="6"/>
  <c r="CT11" i="6" s="1"/>
  <c r="CQ9" i="6"/>
  <c r="CQ17" i="6"/>
  <c r="CT17" i="6" s="1"/>
  <c r="CQ10" i="6"/>
  <c r="CT10" i="6" s="1"/>
  <c r="CQ25" i="6"/>
  <c r="CT25" i="6" s="1"/>
  <c r="CQ12" i="6"/>
  <c r="CT12" i="6" s="1"/>
  <c r="CQ13" i="6"/>
  <c r="CT13" i="6" s="1"/>
  <c r="CQ18" i="6"/>
  <c r="CT18" i="6" s="1"/>
  <c r="CQ19" i="6"/>
  <c r="CT19" i="6" s="1"/>
  <c r="CQ14" i="6"/>
  <c r="CT14" i="6" s="1"/>
  <c r="CQ15" i="6"/>
  <c r="CT15" i="6" s="1"/>
  <c r="CQ10" i="5"/>
  <c r="CT10" i="5" s="1"/>
  <c r="CQ13" i="5"/>
  <c r="CT13" i="5" s="1"/>
  <c r="CQ23" i="5"/>
  <c r="CT23" i="5" s="1"/>
  <c r="CQ16" i="5"/>
  <c r="CT16" i="5" s="1"/>
  <c r="CQ18" i="5"/>
  <c r="CT18" i="5" s="1"/>
  <c r="CQ11" i="5"/>
  <c r="CT11" i="5" s="1"/>
  <c r="CQ24" i="5"/>
  <c r="CT24" i="5" s="1"/>
  <c r="CQ21" i="5"/>
  <c r="CT21" i="5" s="1"/>
  <c r="CQ17" i="5"/>
  <c r="CT17" i="5" s="1"/>
  <c r="CQ9" i="5"/>
  <c r="CT9" i="5" s="1"/>
  <c r="CQ15" i="5"/>
  <c r="CT15" i="5" s="1"/>
  <c r="CQ19" i="5"/>
  <c r="CT19" i="5" s="1"/>
  <c r="CT20" i="6"/>
  <c r="CT12" i="5"/>
  <c r="CH9" i="4"/>
  <c r="CE20" i="4"/>
  <c r="CE23" i="4"/>
  <c r="CE10" i="4"/>
  <c r="CE18" i="4"/>
  <c r="CE12" i="4"/>
  <c r="CE24" i="4"/>
  <c r="CE25" i="4"/>
  <c r="CE17" i="4"/>
  <c r="CE19" i="4"/>
  <c r="CE16" i="4"/>
  <c r="CE21" i="4"/>
  <c r="CE15" i="4"/>
  <c r="CE14" i="4"/>
  <c r="CE13" i="4"/>
  <c r="CE22" i="4"/>
  <c r="CE11" i="4"/>
  <c r="CH23" i="4" l="1"/>
  <c r="CH18" i="4"/>
  <c r="CQ26" i="5"/>
  <c r="CR26" i="5" s="1"/>
  <c r="CQ26" i="6"/>
  <c r="CR26" i="6" s="1"/>
  <c r="CT9" i="6"/>
  <c r="CS26" i="6" s="1"/>
  <c r="CS26" i="5"/>
  <c r="CH22" i="4"/>
  <c r="CH21" i="4"/>
  <c r="CH17" i="4"/>
  <c r="CH12" i="4"/>
  <c r="CH15" i="4"/>
  <c r="CH24" i="4"/>
  <c r="CH19" i="4"/>
  <c r="CH25" i="4"/>
  <c r="CH11" i="4"/>
  <c r="CH14" i="4"/>
  <c r="CH13" i="4"/>
  <c r="CH16" i="4"/>
  <c r="CH10" i="4"/>
  <c r="CH20" i="4"/>
  <c r="CE26" i="4"/>
  <c r="CF26" i="4" l="1"/>
  <c r="CU24" i="6"/>
  <c r="CV24" i="6" s="1"/>
  <c r="CU23" i="6"/>
  <c r="CV23" i="6" s="1"/>
  <c r="CU25" i="6"/>
  <c r="CV25" i="6" s="1"/>
  <c r="CU22" i="6"/>
  <c r="CV22" i="6" s="1"/>
  <c r="CU21" i="6"/>
  <c r="CV21" i="6" s="1"/>
  <c r="CU19" i="6"/>
  <c r="CV19" i="6" s="1"/>
  <c r="CU20" i="6"/>
  <c r="CV20" i="6" s="1"/>
  <c r="CU18" i="6"/>
  <c r="CV18" i="6" s="1"/>
  <c r="CU17" i="6"/>
  <c r="CV17" i="6" s="1"/>
  <c r="CU15" i="6"/>
  <c r="CV15" i="6" s="1"/>
  <c r="CU13" i="6"/>
  <c r="CV13" i="6" s="1"/>
  <c r="CU12" i="6"/>
  <c r="CV12" i="6" s="1"/>
  <c r="CU11" i="6"/>
  <c r="CV11" i="6" s="1"/>
  <c r="CU10" i="6"/>
  <c r="CV10" i="6" s="1"/>
  <c r="CU9" i="6"/>
  <c r="CV9" i="6" s="1"/>
  <c r="CU16" i="6"/>
  <c r="CV16" i="6" s="1"/>
  <c r="CU14" i="6"/>
  <c r="CV14" i="6" s="1"/>
  <c r="CU25" i="5"/>
  <c r="CV25" i="5" s="1"/>
  <c r="CU23" i="5"/>
  <c r="CV23" i="5" s="1"/>
  <c r="CU21" i="5"/>
  <c r="CV21" i="5" s="1"/>
  <c r="CU22" i="5"/>
  <c r="CV22" i="5" s="1"/>
  <c r="CU20" i="5"/>
  <c r="CV20" i="5" s="1"/>
  <c r="CU18" i="5"/>
  <c r="CV18" i="5" s="1"/>
  <c r="CU16" i="5"/>
  <c r="CV16" i="5" s="1"/>
  <c r="CU14" i="5"/>
  <c r="CV14" i="5" s="1"/>
  <c r="CU17" i="5"/>
  <c r="CV17" i="5" s="1"/>
  <c r="CU24" i="5"/>
  <c r="CV24" i="5" s="1"/>
  <c r="CU13" i="5"/>
  <c r="CV13" i="5" s="1"/>
  <c r="CU15" i="5"/>
  <c r="CV15" i="5" s="1"/>
  <c r="CU11" i="5"/>
  <c r="CV11" i="5" s="1"/>
  <c r="CU9" i="5"/>
  <c r="CV9" i="5" s="1"/>
  <c r="CU19" i="5"/>
  <c r="CV19" i="5" s="1"/>
  <c r="CU12" i="5"/>
  <c r="CV12" i="5" s="1"/>
  <c r="CU10" i="5"/>
  <c r="CV10" i="5" s="1"/>
  <c r="CG26" i="4"/>
  <c r="CI25" i="4" s="1"/>
  <c r="CJ25" i="4" s="1"/>
  <c r="CV26" i="6" l="1"/>
  <c r="CV26" i="5"/>
  <c r="CW23" i="5" s="1"/>
  <c r="CI23" i="4"/>
  <c r="CJ23" i="4" s="1"/>
  <c r="CI19" i="4"/>
  <c r="CJ19" i="4" s="1"/>
  <c r="CI14" i="4"/>
  <c r="CJ14" i="4" s="1"/>
  <c r="CI20" i="4"/>
  <c r="CJ20" i="4" s="1"/>
  <c r="CI18" i="4"/>
  <c r="CJ18" i="4" s="1"/>
  <c r="CI17" i="4"/>
  <c r="CJ17" i="4" s="1"/>
  <c r="CI15" i="4"/>
  <c r="CJ15" i="4" s="1"/>
  <c r="CI10" i="4"/>
  <c r="CJ10" i="4" s="1"/>
  <c r="CI16" i="4"/>
  <c r="CJ16" i="4" s="1"/>
  <c r="CI21" i="4"/>
  <c r="CJ21" i="4" s="1"/>
  <c r="CI24" i="4"/>
  <c r="CJ24" i="4" s="1"/>
  <c r="CI22" i="4"/>
  <c r="CJ22" i="4" s="1"/>
  <c r="CI9" i="4"/>
  <c r="CJ9" i="4" s="1"/>
  <c r="CI13" i="4"/>
  <c r="CJ13" i="4" s="1"/>
  <c r="CI12" i="4"/>
  <c r="CJ12" i="4" s="1"/>
  <c r="CI11" i="4"/>
  <c r="CJ11" i="4" s="1"/>
  <c r="CW21" i="5" l="1"/>
  <c r="CZ21" i="5" s="1"/>
  <c r="CW20" i="5"/>
  <c r="CZ20" i="5" s="1"/>
  <c r="CW10" i="5"/>
  <c r="CZ10" i="5" s="1"/>
  <c r="CW12" i="5"/>
  <c r="CZ12" i="5" s="1"/>
  <c r="CW11" i="5"/>
  <c r="CZ11" i="5" s="1"/>
  <c r="CW13" i="5"/>
  <c r="CZ13" i="5" s="1"/>
  <c r="CW24" i="5"/>
  <c r="CZ24" i="5" s="1"/>
  <c r="CW14" i="5"/>
  <c r="CZ14" i="5" s="1"/>
  <c r="CW9" i="5"/>
  <c r="CZ9" i="5" s="1"/>
  <c r="CW21" i="6"/>
  <c r="CW14" i="6"/>
  <c r="CW11" i="6"/>
  <c r="CW23" i="6"/>
  <c r="CW19" i="6"/>
  <c r="CW16" i="6"/>
  <c r="CW10" i="6"/>
  <c r="CW9" i="6"/>
  <c r="CW22" i="6"/>
  <c r="CW18" i="6"/>
  <c r="CW15" i="6"/>
  <c r="CW12" i="6"/>
  <c r="CW13" i="6"/>
  <c r="CW25" i="6"/>
  <c r="CW20" i="6"/>
  <c r="CW17" i="6"/>
  <c r="CW24" i="6"/>
  <c r="CW15" i="5"/>
  <c r="CZ15" i="5" s="1"/>
  <c r="CW17" i="5"/>
  <c r="CZ17" i="5" s="1"/>
  <c r="CW19" i="5"/>
  <c r="CZ19" i="5" s="1"/>
  <c r="CW18" i="5"/>
  <c r="CZ18" i="5" s="1"/>
  <c r="CW25" i="5"/>
  <c r="CZ25" i="5" s="1"/>
  <c r="CW16" i="5"/>
  <c r="CZ16" i="5" s="1"/>
  <c r="CW22" i="5"/>
  <c r="CZ22" i="5" s="1"/>
  <c r="CZ23" i="5"/>
  <c r="CJ26" i="4"/>
  <c r="CK9" i="4" s="1"/>
  <c r="CN9" i="4" l="1"/>
  <c r="CW26" i="5"/>
  <c r="CX26" i="5" s="1"/>
  <c r="CZ25" i="6"/>
  <c r="CZ18" i="6"/>
  <c r="CZ16" i="6"/>
  <c r="CZ14" i="6"/>
  <c r="CZ13" i="6"/>
  <c r="CZ22" i="6"/>
  <c r="CZ19" i="6"/>
  <c r="CZ17" i="6"/>
  <c r="CZ12" i="6"/>
  <c r="CW26" i="6"/>
  <c r="CX26" i="6" s="1"/>
  <c r="CZ9" i="6"/>
  <c r="CZ23" i="6"/>
  <c r="CZ20" i="6"/>
  <c r="CZ15" i="6"/>
  <c r="CZ10" i="6"/>
  <c r="CZ11" i="6"/>
  <c r="CZ24" i="6"/>
  <c r="CZ21" i="6"/>
  <c r="CY26" i="5"/>
  <c r="CK16" i="4"/>
  <c r="CK21" i="4"/>
  <c r="CK22" i="4"/>
  <c r="CK25" i="4"/>
  <c r="CK10" i="4"/>
  <c r="CK14" i="4"/>
  <c r="CK20" i="4"/>
  <c r="CK23" i="4"/>
  <c r="CK13" i="4"/>
  <c r="CK19" i="4"/>
  <c r="CK11" i="4"/>
  <c r="CK12" i="4"/>
  <c r="CK17" i="4"/>
  <c r="CK24" i="4"/>
  <c r="CK18" i="4"/>
  <c r="CK15" i="4"/>
  <c r="CN13" i="4" l="1"/>
  <c r="CN14" i="4"/>
  <c r="CN21" i="4"/>
  <c r="CN18" i="4"/>
  <c r="CN17" i="4"/>
  <c r="CN10" i="4"/>
  <c r="CN15" i="4"/>
  <c r="CN25" i="4"/>
  <c r="CN19" i="4"/>
  <c r="CN23" i="4"/>
  <c r="CN20" i="4"/>
  <c r="CN12" i="4"/>
  <c r="CN11" i="4"/>
  <c r="CN22" i="4"/>
  <c r="CN16" i="4"/>
  <c r="CN24" i="4"/>
  <c r="CY26" i="6"/>
  <c r="DA23" i="5"/>
  <c r="DB23" i="5" s="1"/>
  <c r="DA21" i="5"/>
  <c r="DB21" i="5" s="1"/>
  <c r="DA24" i="5"/>
  <c r="DB24" i="5" s="1"/>
  <c r="DA20" i="5"/>
  <c r="DB20" i="5" s="1"/>
  <c r="DA18" i="5"/>
  <c r="DB18" i="5" s="1"/>
  <c r="DA16" i="5"/>
  <c r="DB16" i="5" s="1"/>
  <c r="DA14" i="5"/>
  <c r="DB14" i="5" s="1"/>
  <c r="DA22" i="5"/>
  <c r="DB22" i="5" s="1"/>
  <c r="DA19" i="5"/>
  <c r="DB19" i="5" s="1"/>
  <c r="DA11" i="5"/>
  <c r="DB11" i="5" s="1"/>
  <c r="DA9" i="5"/>
  <c r="DB9" i="5" s="1"/>
  <c r="DA25" i="5"/>
  <c r="DB25" i="5" s="1"/>
  <c r="DA15" i="5"/>
  <c r="DB15" i="5" s="1"/>
  <c r="DA13" i="5"/>
  <c r="DB13" i="5" s="1"/>
  <c r="DA12" i="5"/>
  <c r="DB12" i="5" s="1"/>
  <c r="DA10" i="5"/>
  <c r="DB10" i="5" s="1"/>
  <c r="DA17" i="5"/>
  <c r="DB17" i="5" s="1"/>
  <c r="CK26" i="4"/>
  <c r="CL26" i="4" l="1"/>
  <c r="CM26" i="4"/>
  <c r="CO22" i="4" s="1"/>
  <c r="CP22" i="4" s="1"/>
  <c r="DA25" i="6"/>
  <c r="DB25" i="6" s="1"/>
  <c r="DA24" i="6"/>
  <c r="DB24" i="6" s="1"/>
  <c r="DA23" i="6"/>
  <c r="DB23" i="6" s="1"/>
  <c r="DA22" i="6"/>
  <c r="DB22" i="6" s="1"/>
  <c r="DA20" i="6"/>
  <c r="DB20" i="6" s="1"/>
  <c r="DA18" i="6"/>
  <c r="DB18" i="6" s="1"/>
  <c r="DA21" i="6"/>
  <c r="DB21" i="6" s="1"/>
  <c r="DA16" i="6"/>
  <c r="DB16" i="6" s="1"/>
  <c r="DA19" i="6"/>
  <c r="DB19" i="6" s="1"/>
  <c r="DA13" i="6"/>
  <c r="DB13" i="6" s="1"/>
  <c r="DA12" i="6"/>
  <c r="DB12" i="6" s="1"/>
  <c r="DA11" i="6"/>
  <c r="DB11" i="6" s="1"/>
  <c r="DA10" i="6"/>
  <c r="DB10" i="6" s="1"/>
  <c r="DA9" i="6"/>
  <c r="DB9" i="6" s="1"/>
  <c r="DA14" i="6"/>
  <c r="DB14" i="6" s="1"/>
  <c r="DA15" i="6"/>
  <c r="DB15" i="6" s="1"/>
  <c r="DA17" i="6"/>
  <c r="DB17" i="6" s="1"/>
  <c r="DB26" i="5"/>
  <c r="CO25" i="4" l="1"/>
  <c r="CP25" i="4" s="1"/>
  <c r="CO9" i="4"/>
  <c r="CP9" i="4" s="1"/>
  <c r="CO23" i="4"/>
  <c r="CP23" i="4" s="1"/>
  <c r="CO17" i="4"/>
  <c r="CP17" i="4" s="1"/>
  <c r="CO13" i="4"/>
  <c r="CP13" i="4" s="1"/>
  <c r="CO10" i="4"/>
  <c r="CP10" i="4" s="1"/>
  <c r="CO24" i="4"/>
  <c r="CP24" i="4" s="1"/>
  <c r="CO21" i="4"/>
  <c r="CP21" i="4" s="1"/>
  <c r="CO14" i="4"/>
  <c r="CP14" i="4" s="1"/>
  <c r="CO15" i="4"/>
  <c r="CP15" i="4" s="1"/>
  <c r="CO20" i="4"/>
  <c r="CP20" i="4" s="1"/>
  <c r="CO11" i="4"/>
  <c r="CP11" i="4" s="1"/>
  <c r="CO19" i="4"/>
  <c r="CP19" i="4" s="1"/>
  <c r="CO12" i="4"/>
  <c r="CP12" i="4" s="1"/>
  <c r="CO16" i="4"/>
  <c r="CP16" i="4" s="1"/>
  <c r="CO18" i="4"/>
  <c r="CP18" i="4" s="1"/>
  <c r="DB26" i="6"/>
  <c r="DC20" i="6" s="1"/>
  <c r="DC25" i="5"/>
  <c r="DC15" i="5"/>
  <c r="DC13" i="5"/>
  <c r="DC21" i="5"/>
  <c r="DC16" i="5"/>
  <c r="DC22" i="5"/>
  <c r="DC24" i="5"/>
  <c r="DC18" i="5"/>
  <c r="DC12" i="5"/>
  <c r="DC19" i="5"/>
  <c r="DC23" i="5"/>
  <c r="DC11" i="5"/>
  <c r="DC10" i="5"/>
  <c r="DC17" i="5"/>
  <c r="DC20" i="5"/>
  <c r="DC9" i="5"/>
  <c r="DC14" i="5"/>
  <c r="CP26" i="4" l="1"/>
  <c r="CQ17" i="4" s="1"/>
  <c r="DC14" i="6"/>
  <c r="DF14" i="6" s="1"/>
  <c r="DC10" i="6"/>
  <c r="DF10" i="6" s="1"/>
  <c r="DC16" i="6"/>
  <c r="DF16" i="6" s="1"/>
  <c r="DC11" i="6"/>
  <c r="DF11" i="6" s="1"/>
  <c r="DC22" i="6"/>
  <c r="DF22" i="6" s="1"/>
  <c r="DC13" i="6"/>
  <c r="DF13" i="6" s="1"/>
  <c r="DC9" i="6"/>
  <c r="DF9" i="6" s="1"/>
  <c r="DC15" i="6"/>
  <c r="DF15" i="6" s="1"/>
  <c r="DC12" i="6"/>
  <c r="DF12" i="6" s="1"/>
  <c r="DC24" i="6"/>
  <c r="DF24" i="6" s="1"/>
  <c r="DC18" i="6"/>
  <c r="DF18" i="6" s="1"/>
  <c r="DC19" i="6"/>
  <c r="DF19" i="6" s="1"/>
  <c r="DC17" i="6"/>
  <c r="DF17" i="6" s="1"/>
  <c r="DC21" i="6"/>
  <c r="DF21" i="6" s="1"/>
  <c r="DC25" i="6"/>
  <c r="DF25" i="6" s="1"/>
  <c r="DC23" i="6"/>
  <c r="DF23" i="6" s="1"/>
  <c r="DF20" i="6"/>
  <c r="DF10" i="5"/>
  <c r="DC26" i="5"/>
  <c r="DD26" i="5" s="1"/>
  <c r="DF9" i="5"/>
  <c r="DF11" i="5"/>
  <c r="DF18" i="5"/>
  <c r="DF21" i="5"/>
  <c r="DF20" i="5"/>
  <c r="DF23" i="5"/>
  <c r="DF24" i="5"/>
  <c r="DF13" i="5"/>
  <c r="DF17" i="5"/>
  <c r="DF19" i="5"/>
  <c r="DF22" i="5"/>
  <c r="DF15" i="5"/>
  <c r="DF14" i="5"/>
  <c r="DF12" i="5"/>
  <c r="DF16" i="5"/>
  <c r="DF25" i="5"/>
  <c r="CQ20" i="4"/>
  <c r="CQ10" i="4"/>
  <c r="CQ13" i="4"/>
  <c r="CQ25" i="4"/>
  <c r="CQ9" i="4"/>
  <c r="CQ24" i="4"/>
  <c r="CQ12" i="4"/>
  <c r="CQ14" i="4"/>
  <c r="CQ23" i="4"/>
  <c r="CQ19" i="4"/>
  <c r="CQ18" i="4"/>
  <c r="CQ15" i="4"/>
  <c r="CQ21" i="4"/>
  <c r="CQ11" i="4"/>
  <c r="CQ16" i="4" l="1"/>
  <c r="CT25" i="4"/>
  <c r="CT19" i="4"/>
  <c r="CT10" i="4"/>
  <c r="CT13" i="4"/>
  <c r="CT14" i="4"/>
  <c r="CT12" i="4"/>
  <c r="CT20" i="4"/>
  <c r="CT21" i="4"/>
  <c r="CT18" i="4"/>
  <c r="CT23" i="4"/>
  <c r="CT11" i="4"/>
  <c r="CT15" i="4"/>
  <c r="CT17" i="4"/>
  <c r="CQ22" i="4"/>
  <c r="CT24" i="4"/>
  <c r="DE26" i="6"/>
  <c r="DG25" i="6" s="1"/>
  <c r="DH25" i="6" s="1"/>
  <c r="DC26" i="6"/>
  <c r="DD26" i="6" s="1"/>
  <c r="DE26" i="5"/>
  <c r="CT9" i="4"/>
  <c r="CT16" i="4" l="1"/>
  <c r="CT22" i="4"/>
  <c r="CQ26" i="4"/>
  <c r="DG16" i="6"/>
  <c r="DH16" i="6" s="1"/>
  <c r="DG10" i="6"/>
  <c r="DH10" i="6" s="1"/>
  <c r="DG17" i="6"/>
  <c r="DH17" i="6" s="1"/>
  <c r="DG21" i="6"/>
  <c r="DH21" i="6" s="1"/>
  <c r="DG20" i="6"/>
  <c r="DH20" i="6" s="1"/>
  <c r="DG11" i="6"/>
  <c r="DH11" i="6" s="1"/>
  <c r="DG14" i="6"/>
  <c r="DH14" i="6" s="1"/>
  <c r="DG24" i="6"/>
  <c r="DH24" i="6" s="1"/>
  <c r="DG18" i="6"/>
  <c r="DH18" i="6" s="1"/>
  <c r="DG12" i="6"/>
  <c r="DH12" i="6" s="1"/>
  <c r="DG22" i="6"/>
  <c r="DH22" i="6" s="1"/>
  <c r="DG23" i="6"/>
  <c r="DH23" i="6" s="1"/>
  <c r="DG15" i="6"/>
  <c r="DH15" i="6" s="1"/>
  <c r="DG9" i="6"/>
  <c r="DH9" i="6" s="1"/>
  <c r="DG13" i="6"/>
  <c r="DH13" i="6" s="1"/>
  <c r="DG19" i="6"/>
  <c r="DH19" i="6" s="1"/>
  <c r="DG24" i="5"/>
  <c r="DH24" i="5" s="1"/>
  <c r="DG23" i="5"/>
  <c r="DH23" i="5" s="1"/>
  <c r="DG21" i="5"/>
  <c r="DH21" i="5" s="1"/>
  <c r="DG25" i="5"/>
  <c r="DH25" i="5" s="1"/>
  <c r="DG20" i="5"/>
  <c r="DH20" i="5" s="1"/>
  <c r="DG18" i="5"/>
  <c r="DH18" i="5" s="1"/>
  <c r="DG16" i="5"/>
  <c r="DH16" i="5" s="1"/>
  <c r="DG14" i="5"/>
  <c r="DH14" i="5" s="1"/>
  <c r="DG22" i="5"/>
  <c r="DH22" i="5" s="1"/>
  <c r="DG19" i="5"/>
  <c r="DH19" i="5" s="1"/>
  <c r="DG17" i="5"/>
  <c r="DH17" i="5" s="1"/>
  <c r="DG12" i="5"/>
  <c r="DH12" i="5" s="1"/>
  <c r="DG10" i="5"/>
  <c r="DH10" i="5" s="1"/>
  <c r="DG15" i="5"/>
  <c r="DH15" i="5" s="1"/>
  <c r="DG13" i="5"/>
  <c r="DH13" i="5" s="1"/>
  <c r="DG11" i="5"/>
  <c r="DH11" i="5" s="1"/>
  <c r="DG9" i="5"/>
  <c r="DH9" i="5" s="1"/>
  <c r="CS26" i="4" l="1"/>
  <c r="CU25" i="4" s="1"/>
  <c r="CV25" i="4" s="1"/>
  <c r="CR26" i="4"/>
  <c r="DH26" i="6"/>
  <c r="DI15" i="6" s="1"/>
  <c r="DH26" i="5"/>
  <c r="CU21" i="4" l="1"/>
  <c r="CV21" i="4" s="1"/>
  <c r="CU23" i="4"/>
  <c r="CV23" i="4" s="1"/>
  <c r="CU9" i="4"/>
  <c r="CV9" i="4" s="1"/>
  <c r="CU18" i="4"/>
  <c r="CV18" i="4" s="1"/>
  <c r="CU14" i="4"/>
  <c r="CV14" i="4" s="1"/>
  <c r="CU22" i="4"/>
  <c r="CV22" i="4" s="1"/>
  <c r="CU13" i="4"/>
  <c r="CV13" i="4" s="1"/>
  <c r="CU12" i="4"/>
  <c r="CV12" i="4" s="1"/>
  <c r="CU11" i="4"/>
  <c r="CV11" i="4" s="1"/>
  <c r="CU24" i="4"/>
  <c r="CV24" i="4" s="1"/>
  <c r="CU19" i="4"/>
  <c r="CV19" i="4" s="1"/>
  <c r="CU20" i="4"/>
  <c r="CV20" i="4" s="1"/>
  <c r="CU17" i="4"/>
  <c r="CV17" i="4" s="1"/>
  <c r="CU15" i="4"/>
  <c r="CV15" i="4" s="1"/>
  <c r="CU16" i="4"/>
  <c r="CV16" i="4" s="1"/>
  <c r="CU10" i="4"/>
  <c r="CV10" i="4" s="1"/>
  <c r="DI12" i="6"/>
  <c r="DL12" i="6" s="1"/>
  <c r="DI25" i="6"/>
  <c r="DL25" i="6" s="1"/>
  <c r="DI24" i="6"/>
  <c r="DL24" i="6" s="1"/>
  <c r="DI22" i="6"/>
  <c r="DL22" i="6" s="1"/>
  <c r="DI13" i="6"/>
  <c r="DL13" i="6" s="1"/>
  <c r="DI9" i="6"/>
  <c r="DL9" i="6" s="1"/>
  <c r="DI11" i="6"/>
  <c r="DL11" i="6" s="1"/>
  <c r="DI21" i="6"/>
  <c r="DL21" i="6" s="1"/>
  <c r="DI19" i="6"/>
  <c r="DL19" i="6" s="1"/>
  <c r="DI16" i="6"/>
  <c r="DI23" i="6"/>
  <c r="DL23" i="6" s="1"/>
  <c r="DI14" i="6"/>
  <c r="DL14" i="6" s="1"/>
  <c r="DI10" i="6"/>
  <c r="DL10" i="6" s="1"/>
  <c r="DI20" i="6"/>
  <c r="DL20" i="6" s="1"/>
  <c r="DI17" i="6"/>
  <c r="DL17" i="6" s="1"/>
  <c r="DI18" i="6"/>
  <c r="DL18" i="6" s="1"/>
  <c r="DL15" i="6"/>
  <c r="DI22" i="5"/>
  <c r="DI15" i="5"/>
  <c r="DI25" i="5"/>
  <c r="DI21" i="5"/>
  <c r="DI12" i="5"/>
  <c r="DI24" i="5"/>
  <c r="DI20" i="5"/>
  <c r="DI13" i="5"/>
  <c r="DI10" i="5"/>
  <c r="DI17" i="5"/>
  <c r="DI14" i="5"/>
  <c r="DI16" i="5"/>
  <c r="DI9" i="5"/>
  <c r="DI19" i="5"/>
  <c r="DI23" i="5"/>
  <c r="DI18" i="5"/>
  <c r="DI11" i="5"/>
  <c r="CV26" i="4" l="1"/>
  <c r="CW9" i="4" s="1"/>
  <c r="CZ9" i="4" s="1"/>
  <c r="CW19" i="4"/>
  <c r="CW25" i="4"/>
  <c r="CW17" i="4"/>
  <c r="CW13" i="4"/>
  <c r="CW14" i="4"/>
  <c r="CW12" i="4"/>
  <c r="CW15" i="4"/>
  <c r="CW20" i="4"/>
  <c r="CW16" i="4"/>
  <c r="CW11" i="4"/>
  <c r="CW10" i="4"/>
  <c r="CW21" i="4"/>
  <c r="DI26" i="6"/>
  <c r="DJ26" i="6" s="1"/>
  <c r="DL16" i="6"/>
  <c r="DK26" i="6" s="1"/>
  <c r="DL18" i="5"/>
  <c r="DL16" i="5"/>
  <c r="DL13" i="5"/>
  <c r="DL21" i="5"/>
  <c r="DL23" i="5"/>
  <c r="DL14" i="5"/>
  <c r="DL20" i="5"/>
  <c r="DL25" i="5"/>
  <c r="DL19" i="5"/>
  <c r="DL17" i="5"/>
  <c r="DL24" i="5"/>
  <c r="DL15" i="5"/>
  <c r="DL11" i="5"/>
  <c r="DI26" i="5"/>
  <c r="DJ26" i="5" s="1"/>
  <c r="DL9" i="5"/>
  <c r="DL10" i="5"/>
  <c r="DL12" i="5"/>
  <c r="DL22" i="5"/>
  <c r="CW23" i="4" l="1"/>
  <c r="CW18" i="4"/>
  <c r="CW24" i="4"/>
  <c r="CW22" i="4"/>
  <c r="CZ22" i="4"/>
  <c r="CZ19" i="4"/>
  <c r="CZ15" i="4"/>
  <c r="CZ24" i="4"/>
  <c r="CZ14" i="4"/>
  <c r="CZ20" i="4"/>
  <c r="CZ13" i="4"/>
  <c r="CZ23" i="4"/>
  <c r="CZ12" i="4"/>
  <c r="CZ10" i="4"/>
  <c r="CZ17" i="4"/>
  <c r="CZ18" i="4"/>
  <c r="CZ21" i="4"/>
  <c r="CZ11" i="4"/>
  <c r="CZ25" i="4"/>
  <c r="CZ16" i="4"/>
  <c r="CW26" i="4"/>
  <c r="DM23" i="6"/>
  <c r="DN23" i="6" s="1"/>
  <c r="DM24" i="6"/>
  <c r="DN24" i="6" s="1"/>
  <c r="DM25" i="6"/>
  <c r="DN25" i="6" s="1"/>
  <c r="DM22" i="6"/>
  <c r="DN22" i="6" s="1"/>
  <c r="DM20" i="6"/>
  <c r="DN20" i="6" s="1"/>
  <c r="DM18" i="6"/>
  <c r="DN18" i="6" s="1"/>
  <c r="DM16" i="6"/>
  <c r="DN16" i="6" s="1"/>
  <c r="DM15" i="6"/>
  <c r="DN15" i="6" s="1"/>
  <c r="DM14" i="6"/>
  <c r="DN14" i="6" s="1"/>
  <c r="DM13" i="6"/>
  <c r="DN13" i="6" s="1"/>
  <c r="DM12" i="6"/>
  <c r="DN12" i="6" s="1"/>
  <c r="DM11" i="6"/>
  <c r="DN11" i="6" s="1"/>
  <c r="DM10" i="6"/>
  <c r="DN10" i="6" s="1"/>
  <c r="DM9" i="6"/>
  <c r="DN9" i="6" s="1"/>
  <c r="DM21" i="6"/>
  <c r="DN21" i="6" s="1"/>
  <c r="DM17" i="6"/>
  <c r="DN17" i="6" s="1"/>
  <c r="DM19" i="6"/>
  <c r="DN19" i="6" s="1"/>
  <c r="DK26" i="5"/>
  <c r="CY26" i="4" l="1"/>
  <c r="DA22" i="4" s="1"/>
  <c r="DB22" i="4" s="1"/>
  <c r="CX26" i="4"/>
  <c r="DN26" i="6"/>
  <c r="DO20" i="6" s="1"/>
  <c r="DM23" i="5"/>
  <c r="DN23" i="5" s="1"/>
  <c r="DM21" i="5"/>
  <c r="DN21" i="5" s="1"/>
  <c r="DM20" i="5"/>
  <c r="DN20" i="5" s="1"/>
  <c r="DM18" i="5"/>
  <c r="DN18" i="5" s="1"/>
  <c r="DM16" i="5"/>
  <c r="DN16" i="5" s="1"/>
  <c r="DM14" i="5"/>
  <c r="DN14" i="5" s="1"/>
  <c r="DM22" i="5"/>
  <c r="DN22" i="5" s="1"/>
  <c r="DM25" i="5"/>
  <c r="DN25" i="5" s="1"/>
  <c r="DM24" i="5"/>
  <c r="DN24" i="5" s="1"/>
  <c r="DM15" i="5"/>
  <c r="DN15" i="5" s="1"/>
  <c r="DM19" i="5"/>
  <c r="DN19" i="5" s="1"/>
  <c r="DM17" i="5"/>
  <c r="DN17" i="5" s="1"/>
  <c r="DM11" i="5"/>
  <c r="DN11" i="5" s="1"/>
  <c r="DM9" i="5"/>
  <c r="DN9" i="5" s="1"/>
  <c r="DM12" i="5"/>
  <c r="DN12" i="5" s="1"/>
  <c r="DM10" i="5"/>
  <c r="DN10" i="5" s="1"/>
  <c r="DM13" i="5"/>
  <c r="DN13" i="5" s="1"/>
  <c r="DA17" i="4" l="1"/>
  <c r="DB17" i="4" s="1"/>
  <c r="DA25" i="4"/>
  <c r="DB25" i="4" s="1"/>
  <c r="DA11" i="4"/>
  <c r="DB11" i="4" s="1"/>
  <c r="DA21" i="4"/>
  <c r="DB21" i="4" s="1"/>
  <c r="DA10" i="4"/>
  <c r="DB10" i="4" s="1"/>
  <c r="DA23" i="4"/>
  <c r="DB23" i="4" s="1"/>
  <c r="DA9" i="4"/>
  <c r="DB9" i="4" s="1"/>
  <c r="DA19" i="4"/>
  <c r="DB19" i="4" s="1"/>
  <c r="DA12" i="4"/>
  <c r="DB12" i="4" s="1"/>
  <c r="DA14" i="4"/>
  <c r="DB14" i="4" s="1"/>
  <c r="DA20" i="4"/>
  <c r="DB20" i="4" s="1"/>
  <c r="DA16" i="4"/>
  <c r="DB16" i="4" s="1"/>
  <c r="DA18" i="4"/>
  <c r="DB18" i="4" s="1"/>
  <c r="DA15" i="4"/>
  <c r="DB15" i="4" s="1"/>
  <c r="DA13" i="4"/>
  <c r="DB13" i="4" s="1"/>
  <c r="DA24" i="4"/>
  <c r="DB24" i="4" s="1"/>
  <c r="DO18" i="6"/>
  <c r="DR18" i="6" s="1"/>
  <c r="DO21" i="6"/>
  <c r="DR21" i="6" s="1"/>
  <c r="DO22" i="6"/>
  <c r="DR22" i="6" s="1"/>
  <c r="DO23" i="6"/>
  <c r="DR23" i="6" s="1"/>
  <c r="DO9" i="6"/>
  <c r="DR9" i="6" s="1"/>
  <c r="DO15" i="6"/>
  <c r="DR15" i="6" s="1"/>
  <c r="DO24" i="6"/>
  <c r="DR24" i="6" s="1"/>
  <c r="DO19" i="6"/>
  <c r="DR19" i="6" s="1"/>
  <c r="DO12" i="6"/>
  <c r="DR12" i="6" s="1"/>
  <c r="DO11" i="6"/>
  <c r="DR11" i="6" s="1"/>
  <c r="DO25" i="6"/>
  <c r="DR25" i="6" s="1"/>
  <c r="DO10" i="6"/>
  <c r="DR10" i="6" s="1"/>
  <c r="DO17" i="6"/>
  <c r="DR17" i="6" s="1"/>
  <c r="DO14" i="6"/>
  <c r="DR14" i="6" s="1"/>
  <c r="DO13" i="6"/>
  <c r="DR13" i="6" s="1"/>
  <c r="DO16" i="6"/>
  <c r="DR16" i="6" s="1"/>
  <c r="DR20" i="6"/>
  <c r="DN26" i="5"/>
  <c r="DO18" i="5" s="1"/>
  <c r="DB26" i="4" l="1"/>
  <c r="DC12" i="4" s="1"/>
  <c r="DO12" i="5"/>
  <c r="DR12" i="5" s="1"/>
  <c r="DO20" i="5"/>
  <c r="DR20" i="5" s="1"/>
  <c r="DO10" i="5"/>
  <c r="DR10" i="5" s="1"/>
  <c r="DO9" i="5"/>
  <c r="DR9" i="5" s="1"/>
  <c r="DO15" i="5"/>
  <c r="DR15" i="5" s="1"/>
  <c r="DO16" i="5"/>
  <c r="DR16" i="5" s="1"/>
  <c r="DO23" i="5"/>
  <c r="DR23" i="5" s="1"/>
  <c r="DO25" i="5"/>
  <c r="DR25" i="5" s="1"/>
  <c r="DO11" i="5"/>
  <c r="DR11" i="5" s="1"/>
  <c r="DO22" i="5"/>
  <c r="DR22" i="5" s="1"/>
  <c r="DO17" i="5"/>
  <c r="DR17" i="5" s="1"/>
  <c r="DO19" i="5"/>
  <c r="DR19" i="5" s="1"/>
  <c r="DO21" i="5"/>
  <c r="DR21" i="5" s="1"/>
  <c r="DO24" i="5"/>
  <c r="DR24" i="5" s="1"/>
  <c r="DO13" i="5"/>
  <c r="DR13" i="5" s="1"/>
  <c r="DO14" i="5"/>
  <c r="DR14" i="5" s="1"/>
  <c r="DO26" i="6"/>
  <c r="DP26" i="6" s="1"/>
  <c r="DQ26" i="6"/>
  <c r="DR18" i="5"/>
  <c r="DC15" i="4" l="1"/>
  <c r="DF15" i="4" s="1"/>
  <c r="DC11" i="4"/>
  <c r="DC14" i="4"/>
  <c r="DC9" i="4"/>
  <c r="DC13" i="4"/>
  <c r="DC23" i="4"/>
  <c r="DC22" i="4"/>
  <c r="DC24" i="4"/>
  <c r="DC20" i="4"/>
  <c r="DC17" i="4"/>
  <c r="DC21" i="4"/>
  <c r="DC25" i="4"/>
  <c r="DC16" i="4"/>
  <c r="DC10" i="4"/>
  <c r="DC18" i="4"/>
  <c r="DC19" i="4"/>
  <c r="DF12" i="4"/>
  <c r="DO26" i="5"/>
  <c r="DP26" i="5" s="1"/>
  <c r="DS24" i="6"/>
  <c r="DT24" i="6" s="1"/>
  <c r="DS23" i="6"/>
  <c r="DT23" i="6" s="1"/>
  <c r="DS25" i="6"/>
  <c r="DT25" i="6" s="1"/>
  <c r="DS22" i="6"/>
  <c r="DT22" i="6" s="1"/>
  <c r="DS21" i="6"/>
  <c r="DT21" i="6" s="1"/>
  <c r="DS19" i="6"/>
  <c r="DT19" i="6" s="1"/>
  <c r="DS20" i="6"/>
  <c r="DT20" i="6" s="1"/>
  <c r="DS18" i="6"/>
  <c r="DT18" i="6" s="1"/>
  <c r="DS17" i="6"/>
  <c r="DT17" i="6" s="1"/>
  <c r="DS13" i="6"/>
  <c r="DT13" i="6" s="1"/>
  <c r="DS12" i="6"/>
  <c r="DT12" i="6" s="1"/>
  <c r="DS11" i="6"/>
  <c r="DT11" i="6" s="1"/>
  <c r="DS10" i="6"/>
  <c r="DT10" i="6" s="1"/>
  <c r="DS9" i="6"/>
  <c r="DT9" i="6" s="1"/>
  <c r="DS16" i="6"/>
  <c r="DT16" i="6" s="1"/>
  <c r="DS14" i="6"/>
  <c r="DT14" i="6" s="1"/>
  <c r="DS15" i="6"/>
  <c r="DT15" i="6" s="1"/>
  <c r="DQ26" i="5"/>
  <c r="DF22" i="4" l="1"/>
  <c r="DF16" i="4"/>
  <c r="DF9" i="4"/>
  <c r="DF10" i="4"/>
  <c r="DF21" i="4"/>
  <c r="DF14" i="4"/>
  <c r="DF18" i="4"/>
  <c r="DF17" i="4"/>
  <c r="DF11" i="4"/>
  <c r="DF23" i="4"/>
  <c r="DF25" i="4"/>
  <c r="DF20" i="4"/>
  <c r="DF13" i="4"/>
  <c r="DF19" i="4"/>
  <c r="DF24" i="4"/>
  <c r="DC26" i="4"/>
  <c r="DD26" i="4" s="1"/>
  <c r="DT26" i="6"/>
  <c r="DU20" i="6" s="1"/>
  <c r="DS25" i="5"/>
  <c r="DT25" i="5" s="1"/>
  <c r="DS23" i="5"/>
  <c r="DT23" i="5" s="1"/>
  <c r="DS21" i="5"/>
  <c r="DT21" i="5" s="1"/>
  <c r="DS22" i="5"/>
  <c r="DT22" i="5" s="1"/>
  <c r="DS20" i="5"/>
  <c r="DT20" i="5" s="1"/>
  <c r="DS18" i="5"/>
  <c r="DT18" i="5" s="1"/>
  <c r="DS16" i="5"/>
  <c r="DT16" i="5" s="1"/>
  <c r="DS14" i="5"/>
  <c r="DT14" i="5" s="1"/>
  <c r="DS24" i="5"/>
  <c r="DT24" i="5" s="1"/>
  <c r="DS17" i="5"/>
  <c r="DT17" i="5" s="1"/>
  <c r="DS19" i="5"/>
  <c r="DT19" i="5" s="1"/>
  <c r="DS15" i="5"/>
  <c r="DT15" i="5" s="1"/>
  <c r="DS13" i="5"/>
  <c r="DT13" i="5" s="1"/>
  <c r="DS11" i="5"/>
  <c r="DT11" i="5" s="1"/>
  <c r="DS9" i="5"/>
  <c r="DT9" i="5" s="1"/>
  <c r="DS12" i="5"/>
  <c r="DT12" i="5" s="1"/>
  <c r="DS10" i="5"/>
  <c r="DT10" i="5" s="1"/>
  <c r="DE26" i="4" l="1"/>
  <c r="DG25" i="4" s="1"/>
  <c r="DH25" i="4" s="1"/>
  <c r="DU10" i="6"/>
  <c r="DX10" i="6" s="1"/>
  <c r="DU9" i="6"/>
  <c r="DU24" i="6"/>
  <c r="DX24" i="6" s="1"/>
  <c r="DU25" i="6"/>
  <c r="DX25" i="6" s="1"/>
  <c r="DU13" i="6"/>
  <c r="DX13" i="6" s="1"/>
  <c r="DU11" i="6"/>
  <c r="DX11" i="6" s="1"/>
  <c r="DU22" i="6"/>
  <c r="DX22" i="6" s="1"/>
  <c r="DU14" i="6"/>
  <c r="DX14" i="6" s="1"/>
  <c r="DU12" i="6"/>
  <c r="DX12" i="6" s="1"/>
  <c r="DU17" i="6"/>
  <c r="DX17" i="6" s="1"/>
  <c r="DU18" i="6"/>
  <c r="DX18" i="6" s="1"/>
  <c r="DU15" i="6"/>
  <c r="DX15" i="6" s="1"/>
  <c r="DU16" i="6"/>
  <c r="DX16" i="6" s="1"/>
  <c r="DU21" i="6"/>
  <c r="DX21" i="6" s="1"/>
  <c r="DU23" i="6"/>
  <c r="DX23" i="6" s="1"/>
  <c r="DU19" i="6"/>
  <c r="DX19" i="6" s="1"/>
  <c r="DX20" i="6"/>
  <c r="DX9" i="6"/>
  <c r="DT26" i="5"/>
  <c r="DG18" i="4" l="1"/>
  <c r="DH18" i="4" s="1"/>
  <c r="DG19" i="4"/>
  <c r="DH19" i="4" s="1"/>
  <c r="DG9" i="4"/>
  <c r="DH9" i="4" s="1"/>
  <c r="DG22" i="4"/>
  <c r="DH22" i="4" s="1"/>
  <c r="DG21" i="4"/>
  <c r="DH21" i="4" s="1"/>
  <c r="DG16" i="4"/>
  <c r="DH16" i="4" s="1"/>
  <c r="DG11" i="4"/>
  <c r="DH11" i="4" s="1"/>
  <c r="DG20" i="4"/>
  <c r="DH20" i="4" s="1"/>
  <c r="DG12" i="4"/>
  <c r="DH12" i="4" s="1"/>
  <c r="DG24" i="4"/>
  <c r="DH24" i="4" s="1"/>
  <c r="DG10" i="4"/>
  <c r="DH10" i="4" s="1"/>
  <c r="DG17" i="4"/>
  <c r="DH17" i="4" s="1"/>
  <c r="DG23" i="4"/>
  <c r="DH23" i="4" s="1"/>
  <c r="DG13" i="4"/>
  <c r="DH13" i="4" s="1"/>
  <c r="DG14" i="4"/>
  <c r="DH14" i="4" s="1"/>
  <c r="DG15" i="4"/>
  <c r="DH15" i="4" s="1"/>
  <c r="DU26" i="6"/>
  <c r="DV26" i="6" s="1"/>
  <c r="DW26" i="6"/>
  <c r="DU22" i="5"/>
  <c r="DU15" i="5"/>
  <c r="DU10" i="5"/>
  <c r="DU9" i="5"/>
  <c r="DU23" i="5"/>
  <c r="DU25" i="5"/>
  <c r="DU20" i="5"/>
  <c r="DU14" i="5"/>
  <c r="DU19" i="5"/>
  <c r="DU21" i="5"/>
  <c r="DU16" i="5"/>
  <c r="DU13" i="5"/>
  <c r="DU24" i="5"/>
  <c r="DU17" i="5"/>
  <c r="DU18" i="5"/>
  <c r="DU12" i="5"/>
  <c r="DU11" i="5"/>
  <c r="DH26" i="4" l="1"/>
  <c r="DI15" i="4" s="1"/>
  <c r="DL15" i="4" s="1"/>
  <c r="DY25" i="6"/>
  <c r="DZ25" i="6" s="1"/>
  <c r="DY24" i="6"/>
  <c r="DZ24" i="6" s="1"/>
  <c r="DY23" i="6"/>
  <c r="DZ23" i="6" s="1"/>
  <c r="DY22" i="6"/>
  <c r="DZ22" i="6" s="1"/>
  <c r="DY20" i="6"/>
  <c r="DZ20" i="6" s="1"/>
  <c r="DY18" i="6"/>
  <c r="DZ18" i="6" s="1"/>
  <c r="DY21" i="6"/>
  <c r="DZ21" i="6" s="1"/>
  <c r="DY16" i="6"/>
  <c r="DZ16" i="6" s="1"/>
  <c r="DY19" i="6"/>
  <c r="DZ19" i="6" s="1"/>
  <c r="DY15" i="6"/>
  <c r="DZ15" i="6" s="1"/>
  <c r="DY13" i="6"/>
  <c r="DZ13" i="6" s="1"/>
  <c r="DY12" i="6"/>
  <c r="DZ12" i="6" s="1"/>
  <c r="DY11" i="6"/>
  <c r="DZ11" i="6" s="1"/>
  <c r="DY10" i="6"/>
  <c r="DZ10" i="6" s="1"/>
  <c r="DY9" i="6"/>
  <c r="DZ9" i="6" s="1"/>
  <c r="DY14" i="6"/>
  <c r="DZ14" i="6" s="1"/>
  <c r="DY17" i="6"/>
  <c r="DZ17" i="6" s="1"/>
  <c r="DX12" i="5"/>
  <c r="DX14" i="5"/>
  <c r="DU26" i="5"/>
  <c r="DV26" i="5" s="1"/>
  <c r="DX9" i="5"/>
  <c r="DX18" i="5"/>
  <c r="DX16" i="5"/>
  <c r="DX20" i="5"/>
  <c r="DX10" i="5"/>
  <c r="DX17" i="5"/>
  <c r="DX21" i="5"/>
  <c r="DX25" i="5"/>
  <c r="DX15" i="5"/>
  <c r="DX13" i="5"/>
  <c r="DX11" i="5"/>
  <c r="DX24" i="5"/>
  <c r="DX19" i="5"/>
  <c r="DX23" i="5"/>
  <c r="DX22" i="5"/>
  <c r="DI23" i="4" l="1"/>
  <c r="DL23" i="4" s="1"/>
  <c r="DI17" i="4"/>
  <c r="DL17" i="4" s="1"/>
  <c r="DI9" i="4"/>
  <c r="DL9" i="4" s="1"/>
  <c r="DI25" i="4"/>
  <c r="DL25" i="4" s="1"/>
  <c r="DI24" i="4"/>
  <c r="DL24" i="4" s="1"/>
  <c r="DI19" i="4"/>
  <c r="DL19" i="4" s="1"/>
  <c r="DI11" i="4"/>
  <c r="DL11" i="4" s="1"/>
  <c r="DI22" i="4"/>
  <c r="DL22" i="4" s="1"/>
  <c r="DI14" i="4"/>
  <c r="DI18" i="4"/>
  <c r="DL18" i="4" s="1"/>
  <c r="DI16" i="4"/>
  <c r="DL16" i="4" s="1"/>
  <c r="DI10" i="4"/>
  <c r="DL10" i="4" s="1"/>
  <c r="DI20" i="4"/>
  <c r="DL20" i="4" s="1"/>
  <c r="DI12" i="4"/>
  <c r="DL12" i="4" s="1"/>
  <c r="DI13" i="4"/>
  <c r="DL13" i="4" s="1"/>
  <c r="DI21" i="4"/>
  <c r="DL21" i="4" s="1"/>
  <c r="DZ26" i="6"/>
  <c r="DW26" i="5"/>
  <c r="DI26" i="4" l="1"/>
  <c r="DJ26" i="4" s="1"/>
  <c r="DL14" i="4"/>
  <c r="DK26" i="4" s="1"/>
  <c r="DM25" i="4" s="1"/>
  <c r="DN25" i="4" s="1"/>
  <c r="EA21" i="6"/>
  <c r="EA23" i="6"/>
  <c r="EA14" i="6"/>
  <c r="EA11" i="6"/>
  <c r="EA22" i="6"/>
  <c r="EA16" i="6"/>
  <c r="EA24" i="6"/>
  <c r="EA20" i="6"/>
  <c r="EA17" i="6"/>
  <c r="EA12" i="6"/>
  <c r="EA9" i="6"/>
  <c r="EA19" i="6"/>
  <c r="EA10" i="6"/>
  <c r="EA25" i="6"/>
  <c r="EA18" i="6"/>
  <c r="EA15" i="6"/>
  <c r="EA13" i="6"/>
  <c r="DY23" i="5"/>
  <c r="DZ23" i="5" s="1"/>
  <c r="DY21" i="5"/>
  <c r="DZ21" i="5" s="1"/>
  <c r="DY20" i="5"/>
  <c r="DZ20" i="5" s="1"/>
  <c r="DY18" i="5"/>
  <c r="DZ18" i="5" s="1"/>
  <c r="DY16" i="5"/>
  <c r="DZ16" i="5" s="1"/>
  <c r="DY14" i="5"/>
  <c r="DZ14" i="5" s="1"/>
  <c r="DY25" i="5"/>
  <c r="DZ25" i="5" s="1"/>
  <c r="DY19" i="5"/>
  <c r="DZ19" i="5" s="1"/>
  <c r="DY17" i="5"/>
  <c r="DZ17" i="5" s="1"/>
  <c r="DY22" i="5"/>
  <c r="DZ22" i="5" s="1"/>
  <c r="DY15" i="5"/>
  <c r="DZ15" i="5" s="1"/>
  <c r="DY13" i="5"/>
  <c r="DZ13" i="5" s="1"/>
  <c r="DY24" i="5"/>
  <c r="DZ24" i="5" s="1"/>
  <c r="DY9" i="5"/>
  <c r="DZ9" i="5" s="1"/>
  <c r="DY12" i="5"/>
  <c r="DZ12" i="5" s="1"/>
  <c r="DY10" i="5"/>
  <c r="DZ10" i="5" s="1"/>
  <c r="DY11" i="5"/>
  <c r="DZ11" i="5" s="1"/>
  <c r="DM14" i="4" l="1"/>
  <c r="DN14" i="4" s="1"/>
  <c r="DM13" i="4"/>
  <c r="DN13" i="4" s="1"/>
  <c r="DM9" i="4"/>
  <c r="DN9" i="4" s="1"/>
  <c r="DM12" i="4"/>
  <c r="DN12" i="4" s="1"/>
  <c r="DM22" i="4"/>
  <c r="DN22" i="4" s="1"/>
  <c r="DM21" i="4"/>
  <c r="DN21" i="4" s="1"/>
  <c r="DM11" i="4"/>
  <c r="DN11" i="4" s="1"/>
  <c r="DM19" i="4"/>
  <c r="DN19" i="4" s="1"/>
  <c r="DM20" i="4"/>
  <c r="DN20" i="4" s="1"/>
  <c r="DM23" i="4"/>
  <c r="DN23" i="4" s="1"/>
  <c r="DM16" i="4"/>
  <c r="DN16" i="4" s="1"/>
  <c r="DM24" i="4"/>
  <c r="DN24" i="4" s="1"/>
  <c r="DM15" i="4"/>
  <c r="DN15" i="4" s="1"/>
  <c r="DM10" i="4"/>
  <c r="DN10" i="4" s="1"/>
  <c r="DM17" i="4"/>
  <c r="DN17" i="4" s="1"/>
  <c r="DM18" i="4"/>
  <c r="DN18" i="4" s="1"/>
  <c r="ED25" i="6"/>
  <c r="ED12" i="6"/>
  <c r="ED16" i="6"/>
  <c r="ED23" i="6"/>
  <c r="ED10" i="6"/>
  <c r="ED17" i="6"/>
  <c r="ED22" i="6"/>
  <c r="ED15" i="6"/>
  <c r="ED19" i="6"/>
  <c r="ED20" i="6"/>
  <c r="ED11" i="6"/>
  <c r="ED18" i="6"/>
  <c r="EA26" i="6"/>
  <c r="EB26" i="6" s="1"/>
  <c r="ED9" i="6"/>
  <c r="ED24" i="6"/>
  <c r="ED14" i="6"/>
  <c r="ED13" i="6"/>
  <c r="ED21" i="6"/>
  <c r="DZ26" i="5"/>
  <c r="DN26" i="4" l="1"/>
  <c r="DO13" i="4" s="1"/>
  <c r="DR13" i="4" s="1"/>
  <c r="EC26" i="6"/>
  <c r="EE21" i="6" s="1"/>
  <c r="EF21" i="6" s="1"/>
  <c r="EA25" i="5"/>
  <c r="EA15" i="5"/>
  <c r="EA23" i="5"/>
  <c r="EA9" i="5"/>
  <c r="EA10" i="5"/>
  <c r="EA22" i="5"/>
  <c r="EA21" i="5"/>
  <c r="EA14" i="5"/>
  <c r="EA18" i="5"/>
  <c r="EA19" i="5"/>
  <c r="EA20" i="5"/>
  <c r="EA13" i="5"/>
  <c r="EA16" i="5"/>
  <c r="EA17" i="5"/>
  <c r="EA24" i="5"/>
  <c r="EA11" i="5"/>
  <c r="EA12" i="5"/>
  <c r="DO16" i="4" l="1"/>
  <c r="DO22" i="4"/>
  <c r="DO11" i="4"/>
  <c r="DR11" i="4" s="1"/>
  <c r="DO12" i="4"/>
  <c r="DR12" i="4" s="1"/>
  <c r="DO19" i="4"/>
  <c r="DR19" i="4" s="1"/>
  <c r="DO21" i="4"/>
  <c r="DR21" i="4" s="1"/>
  <c r="DO10" i="4"/>
  <c r="DR10" i="4" s="1"/>
  <c r="DO23" i="4"/>
  <c r="DR23" i="4" s="1"/>
  <c r="DO18" i="4"/>
  <c r="DR18" i="4" s="1"/>
  <c r="DO9" i="4"/>
  <c r="DR9" i="4" s="1"/>
  <c r="DO14" i="4"/>
  <c r="DR14" i="4" s="1"/>
  <c r="DO20" i="4"/>
  <c r="DR20" i="4" s="1"/>
  <c r="DO15" i="4"/>
  <c r="DR15" i="4" s="1"/>
  <c r="DO17" i="4"/>
  <c r="DR17" i="4" s="1"/>
  <c r="DO25" i="4"/>
  <c r="DR25" i="4" s="1"/>
  <c r="DO24" i="4"/>
  <c r="DR16" i="4"/>
  <c r="DR22" i="4"/>
  <c r="EE20" i="6"/>
  <c r="EF20" i="6" s="1"/>
  <c r="EE24" i="6"/>
  <c r="EF24" i="6" s="1"/>
  <c r="EE15" i="6"/>
  <c r="EF15" i="6" s="1"/>
  <c r="EE11" i="6"/>
  <c r="EF11" i="6" s="1"/>
  <c r="EE23" i="6"/>
  <c r="EF23" i="6" s="1"/>
  <c r="EE22" i="6"/>
  <c r="EF22" i="6" s="1"/>
  <c r="EE13" i="6"/>
  <c r="EF13" i="6" s="1"/>
  <c r="EE25" i="6"/>
  <c r="EF25" i="6" s="1"/>
  <c r="EE9" i="6"/>
  <c r="EF9" i="6" s="1"/>
  <c r="EE14" i="6"/>
  <c r="EF14" i="6" s="1"/>
  <c r="EE18" i="6"/>
  <c r="EF18" i="6" s="1"/>
  <c r="EE12" i="6"/>
  <c r="EF12" i="6" s="1"/>
  <c r="EE19" i="6"/>
  <c r="EF19" i="6" s="1"/>
  <c r="EE16" i="6"/>
  <c r="EF16" i="6" s="1"/>
  <c r="EE10" i="6"/>
  <c r="EF10" i="6" s="1"/>
  <c r="EE17" i="6"/>
  <c r="EF17" i="6" s="1"/>
  <c r="ED17" i="5"/>
  <c r="ED19" i="5"/>
  <c r="ED15" i="5"/>
  <c r="ED11" i="5"/>
  <c r="ED13" i="5"/>
  <c r="ED14" i="5"/>
  <c r="EA26" i="5"/>
  <c r="EB26" i="5" s="1"/>
  <c r="ED9" i="5"/>
  <c r="ED24" i="5"/>
  <c r="ED20" i="5"/>
  <c r="ED21" i="5"/>
  <c r="ED23" i="5"/>
  <c r="ED22" i="5"/>
  <c r="ED12" i="5"/>
  <c r="ED16" i="5"/>
  <c r="ED18" i="5"/>
  <c r="ED10" i="5"/>
  <c r="ED25" i="5"/>
  <c r="DO26" i="4" l="1"/>
  <c r="DP26" i="4" s="1"/>
  <c r="DR24" i="4"/>
  <c r="DQ26" i="4"/>
  <c r="DS23" i="4" s="1"/>
  <c r="DT23" i="4" s="1"/>
  <c r="EF26" i="6"/>
  <c r="EG24" i="6" s="1"/>
  <c r="EC26" i="5"/>
  <c r="DS20" i="4" l="1"/>
  <c r="DT20" i="4" s="1"/>
  <c r="DS19" i="4"/>
  <c r="DT19" i="4" s="1"/>
  <c r="DS13" i="4"/>
  <c r="DT13" i="4" s="1"/>
  <c r="DS22" i="4"/>
  <c r="DT22" i="4" s="1"/>
  <c r="DS17" i="4"/>
  <c r="DT17" i="4" s="1"/>
  <c r="DS25" i="4"/>
  <c r="DT25" i="4" s="1"/>
  <c r="DS12" i="4"/>
  <c r="DT12" i="4" s="1"/>
  <c r="DS14" i="4"/>
  <c r="DT14" i="4" s="1"/>
  <c r="DS10" i="4"/>
  <c r="DT10" i="4" s="1"/>
  <c r="DS16" i="4"/>
  <c r="DT16" i="4" s="1"/>
  <c r="DS24" i="4"/>
  <c r="DT24" i="4" s="1"/>
  <c r="DS18" i="4"/>
  <c r="DT18" i="4" s="1"/>
  <c r="DS15" i="4"/>
  <c r="DT15" i="4" s="1"/>
  <c r="DS9" i="4"/>
  <c r="DT9" i="4" s="1"/>
  <c r="DS21" i="4"/>
  <c r="DT21" i="4" s="1"/>
  <c r="DS11" i="4"/>
  <c r="DT11" i="4" s="1"/>
  <c r="EG19" i="6"/>
  <c r="EJ19" i="6" s="1"/>
  <c r="EG16" i="6"/>
  <c r="EJ16" i="6" s="1"/>
  <c r="EG14" i="6"/>
  <c r="EJ14" i="6" s="1"/>
  <c r="EG10" i="6"/>
  <c r="EJ10" i="6" s="1"/>
  <c r="EG15" i="6"/>
  <c r="EJ15" i="6" s="1"/>
  <c r="EG17" i="6"/>
  <c r="EJ17" i="6" s="1"/>
  <c r="EG20" i="6"/>
  <c r="EJ20" i="6" s="1"/>
  <c r="EG18" i="6"/>
  <c r="EJ18" i="6" s="1"/>
  <c r="EG22" i="6"/>
  <c r="EJ22" i="6" s="1"/>
  <c r="EG25" i="6"/>
  <c r="EJ25" i="6" s="1"/>
  <c r="EG21" i="6"/>
  <c r="EJ21" i="6" s="1"/>
  <c r="EG23" i="6"/>
  <c r="EJ23" i="6" s="1"/>
  <c r="EG13" i="6"/>
  <c r="EJ13" i="6" s="1"/>
  <c r="EG12" i="6"/>
  <c r="EJ12" i="6" s="1"/>
  <c r="EG9" i="6"/>
  <c r="EJ9" i="6" s="1"/>
  <c r="EG11" i="6"/>
  <c r="EJ11" i="6" s="1"/>
  <c r="EJ24" i="6"/>
  <c r="EE24" i="5"/>
  <c r="EF24" i="5" s="1"/>
  <c r="EE23" i="5"/>
  <c r="EF23" i="5" s="1"/>
  <c r="EE21" i="5"/>
  <c r="EF21" i="5" s="1"/>
  <c r="EE20" i="5"/>
  <c r="EF20" i="5" s="1"/>
  <c r="EE18" i="5"/>
  <c r="EF18" i="5" s="1"/>
  <c r="EE16" i="5"/>
  <c r="EF16" i="5" s="1"/>
  <c r="EE14" i="5"/>
  <c r="EF14" i="5" s="1"/>
  <c r="EE25" i="5"/>
  <c r="EF25" i="5" s="1"/>
  <c r="EE15" i="5"/>
  <c r="EF15" i="5" s="1"/>
  <c r="EE22" i="5"/>
  <c r="EF22" i="5" s="1"/>
  <c r="EE12" i="5"/>
  <c r="EF12" i="5" s="1"/>
  <c r="EE10" i="5"/>
  <c r="EF10" i="5" s="1"/>
  <c r="EE17" i="5"/>
  <c r="EF17" i="5" s="1"/>
  <c r="EE11" i="5"/>
  <c r="EF11" i="5" s="1"/>
  <c r="EE9" i="5"/>
  <c r="EF9" i="5" s="1"/>
  <c r="EE13" i="5"/>
  <c r="EF13" i="5" s="1"/>
  <c r="EE19" i="5"/>
  <c r="EF19" i="5" s="1"/>
  <c r="DT26" i="4" l="1"/>
  <c r="DU11" i="4" s="1"/>
  <c r="DX11" i="4" s="1"/>
  <c r="EG26" i="6"/>
  <c r="EH26" i="6" s="1"/>
  <c r="EI26" i="6"/>
  <c r="EK25" i="6" s="1"/>
  <c r="EL25" i="6" s="1"/>
  <c r="EF26" i="5"/>
  <c r="DU24" i="4" l="1"/>
  <c r="DX24" i="4" s="1"/>
  <c r="DU10" i="4"/>
  <c r="DU20" i="4"/>
  <c r="DX20" i="4" s="1"/>
  <c r="DU13" i="4"/>
  <c r="DX13" i="4" s="1"/>
  <c r="DU9" i="4"/>
  <c r="DX9" i="4" s="1"/>
  <c r="DU12" i="4"/>
  <c r="DX12" i="4" s="1"/>
  <c r="DU22" i="4"/>
  <c r="DX22" i="4" s="1"/>
  <c r="DU19" i="4"/>
  <c r="DX19" i="4" s="1"/>
  <c r="DU17" i="4"/>
  <c r="DX17" i="4" s="1"/>
  <c r="DU15" i="4"/>
  <c r="DU21" i="4"/>
  <c r="DX21" i="4" s="1"/>
  <c r="DU16" i="4"/>
  <c r="DX16" i="4" s="1"/>
  <c r="DU23" i="4"/>
  <c r="DX23" i="4" s="1"/>
  <c r="DU25" i="4"/>
  <c r="DX25" i="4" s="1"/>
  <c r="DU18" i="4"/>
  <c r="DX18" i="4" s="1"/>
  <c r="DU14" i="4"/>
  <c r="DX10" i="4"/>
  <c r="DX15" i="4"/>
  <c r="EK17" i="6"/>
  <c r="EL17" i="6" s="1"/>
  <c r="EK10" i="6"/>
  <c r="EL10" i="6" s="1"/>
  <c r="EK14" i="6"/>
  <c r="EL14" i="6" s="1"/>
  <c r="EK18" i="6"/>
  <c r="EL18" i="6" s="1"/>
  <c r="EK23" i="6"/>
  <c r="EL23" i="6" s="1"/>
  <c r="EK19" i="6"/>
  <c r="EL19" i="6" s="1"/>
  <c r="EK11" i="6"/>
  <c r="EL11" i="6" s="1"/>
  <c r="EK15" i="6"/>
  <c r="EL15" i="6" s="1"/>
  <c r="EK20" i="6"/>
  <c r="EL20" i="6" s="1"/>
  <c r="EK21" i="6"/>
  <c r="EL21" i="6" s="1"/>
  <c r="EK12" i="6"/>
  <c r="EL12" i="6" s="1"/>
  <c r="EK16" i="6"/>
  <c r="EL16" i="6" s="1"/>
  <c r="EK22" i="6"/>
  <c r="EL22" i="6" s="1"/>
  <c r="EK9" i="6"/>
  <c r="EL9" i="6" s="1"/>
  <c r="EK13" i="6"/>
  <c r="EL13" i="6" s="1"/>
  <c r="EK24" i="6"/>
  <c r="EL24" i="6" s="1"/>
  <c r="EG15" i="5"/>
  <c r="EG14" i="5"/>
  <c r="EG18" i="5"/>
  <c r="EG13" i="5"/>
  <c r="EG22" i="5"/>
  <c r="EG25" i="5"/>
  <c r="EG20" i="5"/>
  <c r="EG12" i="5"/>
  <c r="EG19" i="5"/>
  <c r="EG24" i="5"/>
  <c r="EG16" i="5"/>
  <c r="EG11" i="5"/>
  <c r="EG10" i="5"/>
  <c r="EG17" i="5"/>
  <c r="EG21" i="5"/>
  <c r="EG23" i="5"/>
  <c r="EG9" i="5"/>
  <c r="DU26" i="4" l="1"/>
  <c r="DV26" i="4" s="1"/>
  <c r="DX14" i="4"/>
  <c r="DW26" i="4"/>
  <c r="DY10" i="4" s="1"/>
  <c r="DZ10" i="4" s="1"/>
  <c r="EL26" i="6"/>
  <c r="EJ23" i="5"/>
  <c r="EJ11" i="5"/>
  <c r="EJ12" i="5"/>
  <c r="EJ13" i="5"/>
  <c r="EJ21" i="5"/>
  <c r="EJ16" i="5"/>
  <c r="EJ20" i="5"/>
  <c r="EJ18" i="5"/>
  <c r="EJ17" i="5"/>
  <c r="EJ24" i="5"/>
  <c r="EJ25" i="5"/>
  <c r="EJ14" i="5"/>
  <c r="EG26" i="5"/>
  <c r="EH26" i="5" s="1"/>
  <c r="EJ9" i="5"/>
  <c r="EJ10" i="5"/>
  <c r="EJ19" i="5"/>
  <c r="EJ22" i="5"/>
  <c r="EJ15" i="5"/>
  <c r="DY15" i="4" l="1"/>
  <c r="DZ15" i="4" s="1"/>
  <c r="DY18" i="4"/>
  <c r="DZ18" i="4" s="1"/>
  <c r="DY12" i="4"/>
  <c r="DZ12" i="4" s="1"/>
  <c r="DY9" i="4"/>
  <c r="DZ9" i="4" s="1"/>
  <c r="DY20" i="4"/>
  <c r="DZ20" i="4" s="1"/>
  <c r="DY25" i="4"/>
  <c r="DZ25" i="4" s="1"/>
  <c r="DY24" i="4"/>
  <c r="DZ24" i="4" s="1"/>
  <c r="DY21" i="4"/>
  <c r="DZ21" i="4" s="1"/>
  <c r="DY17" i="4"/>
  <c r="DZ17" i="4" s="1"/>
  <c r="DY14" i="4"/>
  <c r="DZ14" i="4" s="1"/>
  <c r="DY23" i="4"/>
  <c r="DZ23" i="4" s="1"/>
  <c r="DY16" i="4"/>
  <c r="DZ16" i="4" s="1"/>
  <c r="DY22" i="4"/>
  <c r="DZ22" i="4" s="1"/>
  <c r="DY11" i="4"/>
  <c r="DZ11" i="4" s="1"/>
  <c r="DY13" i="4"/>
  <c r="DZ13" i="4" s="1"/>
  <c r="DY19" i="4"/>
  <c r="DZ19" i="4" s="1"/>
  <c r="EM19" i="6"/>
  <c r="EP19" i="6" s="1"/>
  <c r="EM23" i="6"/>
  <c r="EP23" i="6" s="1"/>
  <c r="EM20" i="6"/>
  <c r="EP20" i="6" s="1"/>
  <c r="EM17" i="6"/>
  <c r="EP17" i="6" s="1"/>
  <c r="EM15" i="6"/>
  <c r="EP15" i="6" s="1"/>
  <c r="EM14" i="6"/>
  <c r="EP14" i="6" s="1"/>
  <c r="EM10" i="6"/>
  <c r="EP10" i="6" s="1"/>
  <c r="EM9" i="6"/>
  <c r="EM24" i="6"/>
  <c r="EP24" i="6" s="1"/>
  <c r="EM18" i="6"/>
  <c r="EP18" i="6" s="1"/>
  <c r="EM16" i="6"/>
  <c r="EP16" i="6" s="1"/>
  <c r="EM13" i="6"/>
  <c r="EP13" i="6" s="1"/>
  <c r="EM11" i="6"/>
  <c r="EP11" i="6" s="1"/>
  <c r="EM25" i="6"/>
  <c r="EP25" i="6" s="1"/>
  <c r="EM22" i="6"/>
  <c r="EP22" i="6" s="1"/>
  <c r="EM21" i="6"/>
  <c r="EP21" i="6" s="1"/>
  <c r="EM12" i="6"/>
  <c r="EP12" i="6" s="1"/>
  <c r="EI26" i="5"/>
  <c r="DZ26" i="4" l="1"/>
  <c r="EA16" i="4" s="1"/>
  <c r="EM26" i="6"/>
  <c r="EN26" i="6" s="1"/>
  <c r="EP9" i="6"/>
  <c r="EO26" i="6" s="1"/>
  <c r="EK23" i="5"/>
  <c r="EL23" i="5" s="1"/>
  <c r="EK21" i="5"/>
  <c r="EL21" i="5" s="1"/>
  <c r="EK20" i="5"/>
  <c r="EL20" i="5" s="1"/>
  <c r="EK18" i="5"/>
  <c r="EL18" i="5" s="1"/>
  <c r="EK16" i="5"/>
  <c r="EL16" i="5" s="1"/>
  <c r="EK14" i="5"/>
  <c r="EL14" i="5" s="1"/>
  <c r="EK15" i="5"/>
  <c r="EL15" i="5" s="1"/>
  <c r="EK25" i="5"/>
  <c r="EL25" i="5" s="1"/>
  <c r="EK22" i="5"/>
  <c r="EL22" i="5" s="1"/>
  <c r="EK19" i="5"/>
  <c r="EL19" i="5" s="1"/>
  <c r="EK17" i="5"/>
  <c r="EL17" i="5" s="1"/>
  <c r="EK13" i="5"/>
  <c r="EL13" i="5" s="1"/>
  <c r="EK24" i="5"/>
  <c r="EL24" i="5" s="1"/>
  <c r="EK12" i="5"/>
  <c r="EL12" i="5" s="1"/>
  <c r="EK10" i="5"/>
  <c r="EL10" i="5" s="1"/>
  <c r="EK11" i="5"/>
  <c r="EL11" i="5" s="1"/>
  <c r="EK9" i="5"/>
  <c r="EL9" i="5" s="1"/>
  <c r="ED16" i="4" l="1"/>
  <c r="EA24" i="4"/>
  <c r="EA15" i="4"/>
  <c r="EA22" i="4"/>
  <c r="EA9" i="4"/>
  <c r="EA13" i="4"/>
  <c r="EA11" i="4"/>
  <c r="EA17" i="4"/>
  <c r="EA12" i="4"/>
  <c r="EA21" i="4"/>
  <c r="EA19" i="4"/>
  <c r="EA18" i="4"/>
  <c r="EA20" i="4"/>
  <c r="EA14" i="4"/>
  <c r="EA10" i="4"/>
  <c r="EA25" i="4"/>
  <c r="EA23" i="4"/>
  <c r="ED24" i="4"/>
  <c r="EQ15" i="6"/>
  <c r="ER15" i="6" s="1"/>
  <c r="EQ24" i="6"/>
  <c r="ER24" i="6" s="1"/>
  <c r="EQ21" i="6"/>
  <c r="ER21" i="6" s="1"/>
  <c r="EQ17" i="6"/>
  <c r="ER17" i="6" s="1"/>
  <c r="EQ10" i="6"/>
  <c r="ER10" i="6" s="1"/>
  <c r="EQ14" i="6"/>
  <c r="ER14" i="6" s="1"/>
  <c r="EQ23" i="6"/>
  <c r="ER23" i="6" s="1"/>
  <c r="EQ19" i="6"/>
  <c r="ER19" i="6" s="1"/>
  <c r="EQ13" i="6"/>
  <c r="ER13" i="6" s="1"/>
  <c r="EQ9" i="6"/>
  <c r="ER9" i="6" s="1"/>
  <c r="EQ25" i="6"/>
  <c r="ER25" i="6" s="1"/>
  <c r="EQ20" i="6"/>
  <c r="ER20" i="6" s="1"/>
  <c r="EQ12" i="6"/>
  <c r="ER12" i="6" s="1"/>
  <c r="EQ16" i="6"/>
  <c r="ER16" i="6" s="1"/>
  <c r="EQ22" i="6"/>
  <c r="ER22" i="6" s="1"/>
  <c r="EQ18" i="6"/>
  <c r="ER18" i="6" s="1"/>
  <c r="EQ11" i="6"/>
  <c r="ER11" i="6" s="1"/>
  <c r="EL26" i="5"/>
  <c r="ED11" i="4" l="1"/>
  <c r="ED9" i="4"/>
  <c r="ED18" i="4"/>
  <c r="ED22" i="4"/>
  <c r="ED14" i="4"/>
  <c r="ED19" i="4"/>
  <c r="ED15" i="4"/>
  <c r="ED10" i="4"/>
  <c r="ED20" i="4"/>
  <c r="ED12" i="4"/>
  <c r="ED13" i="4"/>
  <c r="ED21" i="4"/>
  <c r="ED25" i="4"/>
  <c r="ED17" i="4"/>
  <c r="EA26" i="4"/>
  <c r="EB26" i="4" s="1"/>
  <c r="ED23" i="4"/>
  <c r="ER26" i="6"/>
  <c r="EM17" i="5"/>
  <c r="EM23" i="5"/>
  <c r="EM14" i="5"/>
  <c r="EM10" i="5"/>
  <c r="EM25" i="5"/>
  <c r="EM15" i="5"/>
  <c r="EM20" i="5"/>
  <c r="EM11" i="5"/>
  <c r="EM21" i="5"/>
  <c r="EM24" i="5"/>
  <c r="EM18" i="5"/>
  <c r="EM9" i="5"/>
  <c r="EM22" i="5"/>
  <c r="EM19" i="5"/>
  <c r="EM16" i="5"/>
  <c r="EM13" i="5"/>
  <c r="EM12" i="5"/>
  <c r="EC26" i="4" l="1"/>
  <c r="EE22" i="4" s="1"/>
  <c r="EF22" i="4" s="1"/>
  <c r="ES25" i="6"/>
  <c r="EV25" i="6" s="1"/>
  <c r="ES19" i="6"/>
  <c r="EV19" i="6" s="1"/>
  <c r="ES23" i="6"/>
  <c r="EV23" i="6" s="1"/>
  <c r="ES21" i="6"/>
  <c r="EV21" i="6" s="1"/>
  <c r="ES15" i="6"/>
  <c r="EV15" i="6" s="1"/>
  <c r="ES20" i="6"/>
  <c r="EV20" i="6" s="1"/>
  <c r="ES17" i="6"/>
  <c r="EV17" i="6" s="1"/>
  <c r="ES14" i="6"/>
  <c r="EV14" i="6" s="1"/>
  <c r="ES18" i="6"/>
  <c r="EV18" i="6" s="1"/>
  <c r="ES12" i="6"/>
  <c r="EV12" i="6" s="1"/>
  <c r="ES16" i="6"/>
  <c r="EV16" i="6" s="1"/>
  <c r="ES9" i="6"/>
  <c r="ES13" i="6"/>
  <c r="EV13" i="6" s="1"/>
  <c r="ES11" i="6"/>
  <c r="EV11" i="6" s="1"/>
  <c r="ES24" i="6"/>
  <c r="EV24" i="6" s="1"/>
  <c r="ES10" i="6"/>
  <c r="EV10" i="6" s="1"/>
  <c r="ES22" i="6"/>
  <c r="EV22" i="6" s="1"/>
  <c r="EP24" i="5"/>
  <c r="EP23" i="5"/>
  <c r="EP13" i="5"/>
  <c r="EM26" i="5"/>
  <c r="EN26" i="5" s="1"/>
  <c r="EP9" i="5"/>
  <c r="EP11" i="5"/>
  <c r="EP10" i="5"/>
  <c r="EP16" i="5"/>
  <c r="EP18" i="5"/>
  <c r="EP20" i="5"/>
  <c r="EP14" i="5"/>
  <c r="EP19" i="5"/>
  <c r="EP15" i="5"/>
  <c r="EP12" i="5"/>
  <c r="EP22" i="5"/>
  <c r="EP21" i="5"/>
  <c r="EP25" i="5"/>
  <c r="EP17" i="5"/>
  <c r="EE18" i="4" l="1"/>
  <c r="EF18" i="4" s="1"/>
  <c r="EE20" i="4"/>
  <c r="EF20" i="4" s="1"/>
  <c r="EE11" i="4"/>
  <c r="EF11" i="4" s="1"/>
  <c r="EE13" i="4"/>
  <c r="EF13" i="4" s="1"/>
  <c r="EE10" i="4"/>
  <c r="EF10" i="4" s="1"/>
  <c r="EE25" i="4"/>
  <c r="EF25" i="4" s="1"/>
  <c r="EE15" i="4"/>
  <c r="EF15" i="4" s="1"/>
  <c r="EE21" i="4"/>
  <c r="EF21" i="4" s="1"/>
  <c r="EE24" i="4"/>
  <c r="EF24" i="4" s="1"/>
  <c r="EE17" i="4"/>
  <c r="EF17" i="4" s="1"/>
  <c r="EE9" i="4"/>
  <c r="EF9" i="4" s="1"/>
  <c r="EE16" i="4"/>
  <c r="EF16" i="4" s="1"/>
  <c r="EE12" i="4"/>
  <c r="EF12" i="4" s="1"/>
  <c r="EE19" i="4"/>
  <c r="EF19" i="4" s="1"/>
  <c r="EE23" i="4"/>
  <c r="EF23" i="4" s="1"/>
  <c r="EE14" i="4"/>
  <c r="EF14" i="4" s="1"/>
  <c r="EV9" i="6"/>
  <c r="EU26" i="6" s="1"/>
  <c r="ES26" i="6"/>
  <c r="ET26" i="6" s="1"/>
  <c r="EO26" i="5"/>
  <c r="EF26" i="4" l="1"/>
  <c r="EG25" i="4" s="1"/>
  <c r="EJ25" i="4" s="1"/>
  <c r="EG10" i="4"/>
  <c r="EG18" i="4"/>
  <c r="EG14" i="4"/>
  <c r="EG23" i="4"/>
  <c r="EG9" i="4"/>
  <c r="EG16" i="4"/>
  <c r="EG22" i="4"/>
  <c r="EG20" i="4"/>
  <c r="EW22" i="6"/>
  <c r="EX22" i="6" s="1"/>
  <c r="EW16" i="6"/>
  <c r="EX16" i="6" s="1"/>
  <c r="EW12" i="6"/>
  <c r="EX12" i="6" s="1"/>
  <c r="EW14" i="6"/>
  <c r="EX14" i="6" s="1"/>
  <c r="EW25" i="6"/>
  <c r="EX25" i="6" s="1"/>
  <c r="EW20" i="6"/>
  <c r="EX20" i="6" s="1"/>
  <c r="EW19" i="6"/>
  <c r="EX19" i="6" s="1"/>
  <c r="EW11" i="6"/>
  <c r="EX11" i="6" s="1"/>
  <c r="EW17" i="6"/>
  <c r="EX17" i="6" s="1"/>
  <c r="EW24" i="6"/>
  <c r="EX24" i="6" s="1"/>
  <c r="EW18" i="6"/>
  <c r="EX18" i="6" s="1"/>
  <c r="EW15" i="6"/>
  <c r="EX15" i="6" s="1"/>
  <c r="EW10" i="6"/>
  <c r="EX10" i="6" s="1"/>
  <c r="EW23" i="6"/>
  <c r="EX23" i="6" s="1"/>
  <c r="EW21" i="6"/>
  <c r="EX21" i="6" s="1"/>
  <c r="EW13" i="6"/>
  <c r="EX13" i="6" s="1"/>
  <c r="EW9" i="6"/>
  <c r="EX9" i="6" s="1"/>
  <c r="EQ25" i="5"/>
  <c r="ER25" i="5" s="1"/>
  <c r="EQ23" i="5"/>
  <c r="ER23" i="5" s="1"/>
  <c r="EQ21" i="5"/>
  <c r="ER21" i="5" s="1"/>
  <c r="EQ24" i="5"/>
  <c r="ER24" i="5" s="1"/>
  <c r="EQ22" i="5"/>
  <c r="ER22" i="5" s="1"/>
  <c r="EQ20" i="5"/>
  <c r="ER20" i="5" s="1"/>
  <c r="EQ18" i="5"/>
  <c r="ER18" i="5" s="1"/>
  <c r="EQ16" i="5"/>
  <c r="ER16" i="5" s="1"/>
  <c r="EQ14" i="5"/>
  <c r="ER14" i="5" s="1"/>
  <c r="EQ17" i="5"/>
  <c r="ER17" i="5" s="1"/>
  <c r="EQ19" i="5"/>
  <c r="ER19" i="5" s="1"/>
  <c r="EQ13" i="5"/>
  <c r="ER13" i="5" s="1"/>
  <c r="EQ11" i="5"/>
  <c r="ER11" i="5" s="1"/>
  <c r="EQ9" i="5"/>
  <c r="ER9" i="5" s="1"/>
  <c r="EQ15" i="5"/>
  <c r="ER15" i="5" s="1"/>
  <c r="EQ12" i="5"/>
  <c r="ER12" i="5" s="1"/>
  <c r="EQ10" i="5"/>
  <c r="ER10" i="5" s="1"/>
  <c r="EG11" i="4" l="1"/>
  <c r="EG24" i="4"/>
  <c r="EG17" i="4"/>
  <c r="EJ17" i="4" s="1"/>
  <c r="EG19" i="4"/>
  <c r="EJ19" i="4" s="1"/>
  <c r="EG15" i="4"/>
  <c r="EJ15" i="4" s="1"/>
  <c r="EG13" i="4"/>
  <c r="EJ13" i="4" s="1"/>
  <c r="EG21" i="4"/>
  <c r="EJ21" i="4" s="1"/>
  <c r="EG12" i="4"/>
  <c r="EG26" i="4" s="1"/>
  <c r="EJ9" i="4"/>
  <c r="EJ18" i="4"/>
  <c r="EJ23" i="4"/>
  <c r="EJ10" i="4"/>
  <c r="EJ20" i="4"/>
  <c r="EJ11" i="4"/>
  <c r="EJ16" i="4"/>
  <c r="EJ14" i="4"/>
  <c r="EJ24" i="4"/>
  <c r="EJ22" i="4"/>
  <c r="EX26" i="6"/>
  <c r="ER26" i="5"/>
  <c r="EJ12" i="4" l="1"/>
  <c r="EI26" i="4"/>
  <c r="EK9" i="4" s="1"/>
  <c r="EL9" i="4" s="1"/>
  <c r="EH26" i="4"/>
  <c r="EY15" i="6"/>
  <c r="FB15" i="6" s="1"/>
  <c r="EY17" i="6"/>
  <c r="FB17" i="6" s="1"/>
  <c r="EY11" i="6"/>
  <c r="FB11" i="6" s="1"/>
  <c r="EY10" i="6"/>
  <c r="FB10" i="6" s="1"/>
  <c r="EY14" i="6"/>
  <c r="FB14" i="6" s="1"/>
  <c r="EY25" i="6"/>
  <c r="FB25" i="6" s="1"/>
  <c r="EY22" i="6"/>
  <c r="FB22" i="6" s="1"/>
  <c r="EY9" i="6"/>
  <c r="EY23" i="6"/>
  <c r="FB23" i="6" s="1"/>
  <c r="EY20" i="6"/>
  <c r="FB20" i="6" s="1"/>
  <c r="EY19" i="6"/>
  <c r="FB19" i="6" s="1"/>
  <c r="EY24" i="6"/>
  <c r="FB24" i="6" s="1"/>
  <c r="EY21" i="6"/>
  <c r="FB21" i="6" s="1"/>
  <c r="EY16" i="6"/>
  <c r="FB16" i="6" s="1"/>
  <c r="EY13" i="6"/>
  <c r="FB13" i="6" s="1"/>
  <c r="EY18" i="6"/>
  <c r="FB18" i="6" s="1"/>
  <c r="EY12" i="6"/>
  <c r="FB12" i="6" s="1"/>
  <c r="ES24" i="5"/>
  <c r="ES17" i="5"/>
  <c r="ES20" i="5"/>
  <c r="ES25" i="5"/>
  <c r="ES16" i="5"/>
  <c r="ES11" i="5"/>
  <c r="ES19" i="5"/>
  <c r="ES18" i="5"/>
  <c r="ES10" i="5"/>
  <c r="ES9" i="5"/>
  <c r="ES22" i="5"/>
  <c r="ES15" i="5"/>
  <c r="ES21" i="5"/>
  <c r="ES14" i="5"/>
  <c r="ES13" i="5"/>
  <c r="ES23" i="5"/>
  <c r="ES12" i="5"/>
  <c r="EK24" i="4" l="1"/>
  <c r="EL24" i="4" s="1"/>
  <c r="EK10" i="4"/>
  <c r="EL10" i="4" s="1"/>
  <c r="EK16" i="4"/>
  <c r="EL16" i="4" s="1"/>
  <c r="EK21" i="4"/>
  <c r="EL21" i="4" s="1"/>
  <c r="EK12" i="4"/>
  <c r="EL12" i="4" s="1"/>
  <c r="EK15" i="4"/>
  <c r="EL15" i="4" s="1"/>
  <c r="EK13" i="4"/>
  <c r="EL13" i="4" s="1"/>
  <c r="EK17" i="4"/>
  <c r="EL17" i="4" s="1"/>
  <c r="EK18" i="4"/>
  <c r="EL18" i="4" s="1"/>
  <c r="EK22" i="4"/>
  <c r="EL22" i="4" s="1"/>
  <c r="EK11" i="4"/>
  <c r="EL11" i="4" s="1"/>
  <c r="EK25" i="4"/>
  <c r="EL25" i="4" s="1"/>
  <c r="EK14" i="4"/>
  <c r="EL14" i="4" s="1"/>
  <c r="EK19" i="4"/>
  <c r="EL19" i="4" s="1"/>
  <c r="EK20" i="4"/>
  <c r="EL20" i="4" s="1"/>
  <c r="EK23" i="4"/>
  <c r="EL23" i="4" s="1"/>
  <c r="EY26" i="6"/>
  <c r="EZ26" i="6" s="1"/>
  <c r="FB9" i="6"/>
  <c r="FA26" i="6" s="1"/>
  <c r="FC21" i="6" s="1"/>
  <c r="EV23" i="5"/>
  <c r="EV18" i="5"/>
  <c r="EV25" i="5"/>
  <c r="EV13" i="5"/>
  <c r="EV22" i="5"/>
  <c r="EV19" i="5"/>
  <c r="EV20" i="5"/>
  <c r="EV14" i="5"/>
  <c r="ES26" i="5"/>
  <c r="ET26" i="5" s="1"/>
  <c r="EV9" i="5"/>
  <c r="EV11" i="5"/>
  <c r="EV17" i="5"/>
  <c r="EV15" i="5"/>
  <c r="EV12" i="5"/>
  <c r="EV21" i="5"/>
  <c r="EV10" i="5"/>
  <c r="EV16" i="5"/>
  <c r="EV24" i="5"/>
  <c r="EL26" i="4" l="1"/>
  <c r="EM16" i="4" s="1"/>
  <c r="FD21" i="6"/>
  <c r="FC20" i="6"/>
  <c r="FD20" i="6" s="1"/>
  <c r="FC11" i="6"/>
  <c r="FD11" i="6" s="1"/>
  <c r="FC14" i="6"/>
  <c r="FD14" i="6" s="1"/>
  <c r="FC24" i="6"/>
  <c r="FD24" i="6" s="1"/>
  <c r="FC18" i="6"/>
  <c r="FD18" i="6" s="1"/>
  <c r="FC12" i="6"/>
  <c r="FD12" i="6" s="1"/>
  <c r="FC22" i="6"/>
  <c r="FD22" i="6" s="1"/>
  <c r="FC23" i="6"/>
  <c r="FD23" i="6" s="1"/>
  <c r="FC15" i="6"/>
  <c r="FD15" i="6" s="1"/>
  <c r="FC9" i="6"/>
  <c r="FD9" i="6" s="1"/>
  <c r="FC13" i="6"/>
  <c r="FD13" i="6" s="1"/>
  <c r="FC19" i="6"/>
  <c r="FD19" i="6" s="1"/>
  <c r="FC25" i="6"/>
  <c r="FD25" i="6" s="1"/>
  <c r="FC16" i="6"/>
  <c r="FD16" i="6" s="1"/>
  <c r="FC10" i="6"/>
  <c r="FD10" i="6" s="1"/>
  <c r="FC17" i="6"/>
  <c r="FD17" i="6" s="1"/>
  <c r="EU26" i="5"/>
  <c r="EM23" i="4" l="1"/>
  <c r="EM19" i="4"/>
  <c r="EP19" i="4" s="1"/>
  <c r="EM9" i="4"/>
  <c r="EP9" i="4" s="1"/>
  <c r="EM17" i="4"/>
  <c r="EP17" i="4" s="1"/>
  <c r="EM12" i="4"/>
  <c r="EM10" i="4"/>
  <c r="EP10" i="4" s="1"/>
  <c r="EM18" i="4"/>
  <c r="EP18" i="4" s="1"/>
  <c r="EM21" i="4"/>
  <c r="EP21" i="4" s="1"/>
  <c r="EM24" i="4"/>
  <c r="EM22" i="4"/>
  <c r="EP22" i="4" s="1"/>
  <c r="EM14" i="4"/>
  <c r="EP14" i="4" s="1"/>
  <c r="EM15" i="4"/>
  <c r="EP15" i="4" s="1"/>
  <c r="EM20" i="4"/>
  <c r="EP20" i="4" s="1"/>
  <c r="EM11" i="4"/>
  <c r="EP11" i="4" s="1"/>
  <c r="EM13" i="4"/>
  <c r="EP13" i="4" s="1"/>
  <c r="EM25" i="4"/>
  <c r="EP25" i="4" s="1"/>
  <c r="EP16" i="4"/>
  <c r="EP24" i="4"/>
  <c r="FD26" i="6"/>
  <c r="FE21" i="6" s="1"/>
  <c r="EW23" i="5"/>
  <c r="EX23" i="5" s="1"/>
  <c r="EW21" i="5"/>
  <c r="EX21" i="5" s="1"/>
  <c r="EW25" i="5"/>
  <c r="EX25" i="5" s="1"/>
  <c r="EW20" i="5"/>
  <c r="EX20" i="5" s="1"/>
  <c r="EW18" i="5"/>
  <c r="EX18" i="5" s="1"/>
  <c r="EW16" i="5"/>
  <c r="EX16" i="5" s="1"/>
  <c r="EW14" i="5"/>
  <c r="EX14" i="5" s="1"/>
  <c r="EW24" i="5"/>
  <c r="EX24" i="5" s="1"/>
  <c r="EW22" i="5"/>
  <c r="EX22" i="5" s="1"/>
  <c r="EW19" i="5"/>
  <c r="EX19" i="5" s="1"/>
  <c r="EW17" i="5"/>
  <c r="EX17" i="5" s="1"/>
  <c r="EW12" i="5"/>
  <c r="EX12" i="5" s="1"/>
  <c r="EW10" i="5"/>
  <c r="EX10" i="5" s="1"/>
  <c r="EW13" i="5"/>
  <c r="EX13" i="5" s="1"/>
  <c r="EW11" i="5"/>
  <c r="EX11" i="5" s="1"/>
  <c r="EW9" i="5"/>
  <c r="EX9" i="5" s="1"/>
  <c r="EW15" i="5"/>
  <c r="EX15" i="5" s="1"/>
  <c r="EP23" i="4"/>
  <c r="EP12" i="4"/>
  <c r="EM26" i="4" l="1"/>
  <c r="EN26" i="4" s="1"/>
  <c r="FE14" i="6"/>
  <c r="FH14" i="6" s="1"/>
  <c r="FE12" i="6"/>
  <c r="FH12" i="6" s="1"/>
  <c r="FE9" i="6"/>
  <c r="FH9" i="6" s="1"/>
  <c r="FE13" i="6"/>
  <c r="FH13" i="6" s="1"/>
  <c r="FE18" i="6"/>
  <c r="FH18" i="6" s="1"/>
  <c r="FE15" i="6"/>
  <c r="FH15" i="6" s="1"/>
  <c r="FE16" i="6"/>
  <c r="FH16" i="6" s="1"/>
  <c r="FE10" i="6"/>
  <c r="FH10" i="6" s="1"/>
  <c r="FE25" i="6"/>
  <c r="FH25" i="6" s="1"/>
  <c r="FE19" i="6"/>
  <c r="FH19" i="6" s="1"/>
  <c r="FE20" i="6"/>
  <c r="FH20" i="6" s="1"/>
  <c r="FE17" i="6"/>
  <c r="FH17" i="6" s="1"/>
  <c r="FE11" i="6"/>
  <c r="FH11" i="6" s="1"/>
  <c r="FE24" i="6"/>
  <c r="FH24" i="6" s="1"/>
  <c r="FE23" i="6"/>
  <c r="FH23" i="6" s="1"/>
  <c r="FE22" i="6"/>
  <c r="FH22" i="6" s="1"/>
  <c r="FH21" i="6"/>
  <c r="EX26" i="5"/>
  <c r="EO26" i="4"/>
  <c r="EQ11" i="4" s="1"/>
  <c r="ER11" i="4" s="1"/>
  <c r="FE26" i="6" l="1"/>
  <c r="FF26" i="6" s="1"/>
  <c r="FG26" i="6"/>
  <c r="EY13" i="5"/>
  <c r="EY16" i="5"/>
  <c r="EY25" i="5"/>
  <c r="EY17" i="5"/>
  <c r="EY21" i="5"/>
  <c r="EY11" i="5"/>
  <c r="EY14" i="5"/>
  <c r="EY22" i="5"/>
  <c r="EY15" i="5"/>
  <c r="EY18" i="5"/>
  <c r="EY9" i="5"/>
  <c r="EY24" i="5"/>
  <c r="EY23" i="5"/>
  <c r="EY12" i="5"/>
  <c r="EY19" i="5"/>
  <c r="EY20" i="5"/>
  <c r="EY10" i="5"/>
  <c r="EQ16" i="4"/>
  <c r="ER16" i="4" s="1"/>
  <c r="EQ25" i="4"/>
  <c r="ER25" i="4" s="1"/>
  <c r="EQ18" i="4"/>
  <c r="ER18" i="4" s="1"/>
  <c r="EQ15" i="4"/>
  <c r="ER15" i="4" s="1"/>
  <c r="EQ20" i="4"/>
  <c r="ER20" i="4" s="1"/>
  <c r="EQ10" i="4"/>
  <c r="ER10" i="4" s="1"/>
  <c r="EQ24" i="4"/>
  <c r="ER24" i="4" s="1"/>
  <c r="EQ9" i="4"/>
  <c r="ER9" i="4" s="1"/>
  <c r="EQ14" i="4"/>
  <c r="ER14" i="4" s="1"/>
  <c r="EQ12" i="4"/>
  <c r="ER12" i="4" s="1"/>
  <c r="EQ13" i="4"/>
  <c r="ER13" i="4" s="1"/>
  <c r="EQ23" i="4"/>
  <c r="ER23" i="4" s="1"/>
  <c r="EQ19" i="4"/>
  <c r="ER19" i="4" s="1"/>
  <c r="EQ17" i="4"/>
  <c r="ER17" i="4" s="1"/>
  <c r="EQ22" i="4"/>
  <c r="ER22" i="4" s="1"/>
  <c r="EQ21" i="4"/>
  <c r="ER21" i="4" s="1"/>
  <c r="FI23" i="6" l="1"/>
  <c r="FJ23" i="6" s="1"/>
  <c r="FI24" i="6"/>
  <c r="FJ24" i="6" s="1"/>
  <c r="FI25" i="6"/>
  <c r="FJ25" i="6" s="1"/>
  <c r="FI22" i="6"/>
  <c r="FJ22" i="6" s="1"/>
  <c r="FI20" i="6"/>
  <c r="FJ20" i="6" s="1"/>
  <c r="FI18" i="6"/>
  <c r="FJ18" i="6" s="1"/>
  <c r="FI16" i="6"/>
  <c r="FJ16" i="6" s="1"/>
  <c r="FI15" i="6"/>
  <c r="FJ15" i="6" s="1"/>
  <c r="FI14" i="6"/>
  <c r="FJ14" i="6" s="1"/>
  <c r="FI13" i="6"/>
  <c r="FJ13" i="6" s="1"/>
  <c r="FI12" i="6"/>
  <c r="FJ12" i="6" s="1"/>
  <c r="FI11" i="6"/>
  <c r="FJ11" i="6" s="1"/>
  <c r="FI10" i="6"/>
  <c r="FJ10" i="6" s="1"/>
  <c r="FI9" i="6"/>
  <c r="FJ9" i="6" s="1"/>
  <c r="FI21" i="6"/>
  <c r="FJ21" i="6" s="1"/>
  <c r="FI19" i="6"/>
  <c r="FJ19" i="6" s="1"/>
  <c r="FI17" i="6"/>
  <c r="FJ17" i="6" s="1"/>
  <c r="FB12" i="5"/>
  <c r="FB18" i="5"/>
  <c r="FB11" i="5"/>
  <c r="FB16" i="5"/>
  <c r="FB10" i="5"/>
  <c r="FB23" i="5"/>
  <c r="FB15" i="5"/>
  <c r="FB21" i="5"/>
  <c r="FB13" i="5"/>
  <c r="FB20" i="5"/>
  <c r="FB24" i="5"/>
  <c r="FB22" i="5"/>
  <c r="FB17" i="5"/>
  <c r="FB19" i="5"/>
  <c r="EY26" i="5"/>
  <c r="EZ26" i="5" s="1"/>
  <c r="FB9" i="5"/>
  <c r="FB14" i="5"/>
  <c r="FB25" i="5"/>
  <c r="ER26" i="4"/>
  <c r="ES17" i="4" s="1"/>
  <c r="EV17" i="4" l="1"/>
  <c r="FJ26" i="6"/>
  <c r="FA26" i="5"/>
  <c r="FC23" i="5" s="1"/>
  <c r="FD23" i="5" s="1"/>
  <c r="ES16" i="4"/>
  <c r="ES15" i="4"/>
  <c r="ES10" i="4"/>
  <c r="ES11" i="4"/>
  <c r="ES14" i="4"/>
  <c r="ES22" i="4"/>
  <c r="ES19" i="4"/>
  <c r="ES25" i="4"/>
  <c r="ES23" i="4"/>
  <c r="ES24" i="4"/>
  <c r="ES21" i="4"/>
  <c r="ES9" i="4"/>
  <c r="ES13" i="4"/>
  <c r="ES20" i="4"/>
  <c r="ES18" i="4"/>
  <c r="ES12" i="4"/>
  <c r="EV21" i="4" l="1"/>
  <c r="EV11" i="4"/>
  <c r="EV25" i="4"/>
  <c r="EV18" i="4"/>
  <c r="EV19" i="4"/>
  <c r="EV9" i="4"/>
  <c r="EV10" i="4"/>
  <c r="EV23" i="4"/>
  <c r="EV22" i="4"/>
  <c r="EV15" i="4"/>
  <c r="EV12" i="4"/>
  <c r="EV20" i="4"/>
  <c r="EV13" i="4"/>
  <c r="EV14" i="4"/>
  <c r="EV16" i="4"/>
  <c r="EV24" i="4"/>
  <c r="FC9" i="5"/>
  <c r="FD9" i="5" s="1"/>
  <c r="FC22" i="5"/>
  <c r="FD22" i="5" s="1"/>
  <c r="FK19" i="6"/>
  <c r="FK15" i="6"/>
  <c r="FK13" i="6"/>
  <c r="FK25" i="6"/>
  <c r="FK23" i="6"/>
  <c r="FK18" i="6"/>
  <c r="FK14" i="6"/>
  <c r="FK11" i="6"/>
  <c r="FK24" i="6"/>
  <c r="FK21" i="6"/>
  <c r="FK17" i="6"/>
  <c r="FK12" i="6"/>
  <c r="FK9" i="6"/>
  <c r="FK22" i="6"/>
  <c r="FK20" i="6"/>
  <c r="FK16" i="6"/>
  <c r="FK10" i="6"/>
  <c r="FC18" i="5"/>
  <c r="FD18" i="5" s="1"/>
  <c r="FC15" i="5"/>
  <c r="FD15" i="5" s="1"/>
  <c r="FC20" i="5"/>
  <c r="FD20" i="5" s="1"/>
  <c r="FC12" i="5"/>
  <c r="FD12" i="5" s="1"/>
  <c r="FC13" i="5"/>
  <c r="FD13" i="5" s="1"/>
  <c r="FC25" i="5"/>
  <c r="FD25" i="5" s="1"/>
  <c r="FC24" i="5"/>
  <c r="FD24" i="5" s="1"/>
  <c r="FC11" i="5"/>
  <c r="FD11" i="5" s="1"/>
  <c r="FC17" i="5"/>
  <c r="FD17" i="5" s="1"/>
  <c r="FC14" i="5"/>
  <c r="FD14" i="5" s="1"/>
  <c r="FC21" i="5"/>
  <c r="FD21" i="5" s="1"/>
  <c r="FC10" i="5"/>
  <c r="FD10" i="5" s="1"/>
  <c r="FC19" i="5"/>
  <c r="FD19" i="5" s="1"/>
  <c r="FC16" i="5"/>
  <c r="FD16" i="5" s="1"/>
  <c r="ES26" i="4"/>
  <c r="ET26" i="4" l="1"/>
  <c r="EU26" i="4"/>
  <c r="EW24" i="4" s="1"/>
  <c r="EX24" i="4" s="1"/>
  <c r="FD26" i="5"/>
  <c r="FE25" i="5" s="1"/>
  <c r="FH25" i="5" s="1"/>
  <c r="FN12" i="6"/>
  <c r="FN25" i="6"/>
  <c r="FN17" i="6"/>
  <c r="FN13" i="6"/>
  <c r="FN22" i="6"/>
  <c r="FN21" i="6"/>
  <c r="FN18" i="6"/>
  <c r="FN15" i="6"/>
  <c r="FN16" i="6"/>
  <c r="FN11" i="6"/>
  <c r="FN20" i="6"/>
  <c r="FN14" i="6"/>
  <c r="FN10" i="6"/>
  <c r="FK26" i="6"/>
  <c r="FL26" i="6" s="1"/>
  <c r="FN9" i="6"/>
  <c r="FN24" i="6"/>
  <c r="FN23" i="6"/>
  <c r="FN19" i="6"/>
  <c r="EW23" i="4" l="1"/>
  <c r="EX23" i="4" s="1"/>
  <c r="EW15" i="4"/>
  <c r="EX15" i="4" s="1"/>
  <c r="EW10" i="4"/>
  <c r="EX10" i="4" s="1"/>
  <c r="EW18" i="4"/>
  <c r="EX18" i="4" s="1"/>
  <c r="EW11" i="4"/>
  <c r="EX11" i="4" s="1"/>
  <c r="EW19" i="4"/>
  <c r="EX19" i="4" s="1"/>
  <c r="EW22" i="4"/>
  <c r="EX22" i="4" s="1"/>
  <c r="EW14" i="4"/>
  <c r="EX14" i="4" s="1"/>
  <c r="EW25" i="4"/>
  <c r="EX25" i="4" s="1"/>
  <c r="EW20" i="4"/>
  <c r="EX20" i="4" s="1"/>
  <c r="EW16" i="4"/>
  <c r="EX16" i="4" s="1"/>
  <c r="EW12" i="4"/>
  <c r="EX12" i="4" s="1"/>
  <c r="EW9" i="4"/>
  <c r="EX9" i="4" s="1"/>
  <c r="EW21" i="4"/>
  <c r="EX21" i="4" s="1"/>
  <c r="EW17" i="4"/>
  <c r="EX17" i="4" s="1"/>
  <c r="EW13" i="4"/>
  <c r="EX13" i="4" s="1"/>
  <c r="FE10" i="5"/>
  <c r="FH10" i="5" s="1"/>
  <c r="FE20" i="5"/>
  <c r="FH20" i="5" s="1"/>
  <c r="FE17" i="5"/>
  <c r="FH17" i="5" s="1"/>
  <c r="FE15" i="5"/>
  <c r="FH15" i="5" s="1"/>
  <c r="FE13" i="5"/>
  <c r="FH13" i="5" s="1"/>
  <c r="FE9" i="5"/>
  <c r="FH9" i="5" s="1"/>
  <c r="FE12" i="5"/>
  <c r="FH12" i="5" s="1"/>
  <c r="FE21" i="5"/>
  <c r="FH21" i="5" s="1"/>
  <c r="FE19" i="5"/>
  <c r="FH19" i="5" s="1"/>
  <c r="FE24" i="5"/>
  <c r="FH24" i="5" s="1"/>
  <c r="FE16" i="5"/>
  <c r="FH16" i="5" s="1"/>
  <c r="FE18" i="5"/>
  <c r="FH18" i="5" s="1"/>
  <c r="FE22" i="5"/>
  <c r="FH22" i="5" s="1"/>
  <c r="FE11" i="5"/>
  <c r="FH11" i="5" s="1"/>
  <c r="FE23" i="5"/>
  <c r="FH23" i="5" s="1"/>
  <c r="FE14" i="5"/>
  <c r="FH14" i="5" s="1"/>
  <c r="FM26" i="6"/>
  <c r="EX26" i="4" l="1"/>
  <c r="EY13" i="4" s="1"/>
  <c r="FE26" i="5"/>
  <c r="FF26" i="5" s="1"/>
  <c r="FG26" i="5"/>
  <c r="FI21" i="5" s="1"/>
  <c r="FO24" i="6"/>
  <c r="FP24" i="6" s="1"/>
  <c r="FO23" i="6"/>
  <c r="FP23" i="6" s="1"/>
  <c r="FO22" i="6"/>
  <c r="FP22" i="6" s="1"/>
  <c r="FO25" i="6"/>
  <c r="FP25" i="6" s="1"/>
  <c r="FO21" i="6"/>
  <c r="FP21" i="6" s="1"/>
  <c r="FO19" i="6"/>
  <c r="FP19" i="6" s="1"/>
  <c r="FO20" i="6"/>
  <c r="FP20" i="6" s="1"/>
  <c r="FO18" i="6"/>
  <c r="FP18" i="6" s="1"/>
  <c r="FO17" i="6"/>
  <c r="FP17" i="6" s="1"/>
  <c r="FO13" i="6"/>
  <c r="FP13" i="6" s="1"/>
  <c r="FO12" i="6"/>
  <c r="FP12" i="6" s="1"/>
  <c r="FO11" i="6"/>
  <c r="FP11" i="6" s="1"/>
  <c r="FO10" i="6"/>
  <c r="FP10" i="6" s="1"/>
  <c r="FO9" i="6"/>
  <c r="FP9" i="6" s="1"/>
  <c r="FO16" i="6"/>
  <c r="FP16" i="6" s="1"/>
  <c r="FO15" i="6"/>
  <c r="FP15" i="6" s="1"/>
  <c r="FO14" i="6"/>
  <c r="FP14" i="6" s="1"/>
  <c r="EY25" i="4" l="1"/>
  <c r="EY10" i="4"/>
  <c r="FB13" i="4"/>
  <c r="EY9" i="4"/>
  <c r="EY21" i="4"/>
  <c r="EY15" i="4"/>
  <c r="EY11" i="4"/>
  <c r="EY18" i="4"/>
  <c r="EY12" i="4"/>
  <c r="EY23" i="4"/>
  <c r="EY24" i="4"/>
  <c r="EY17" i="4"/>
  <c r="EY20" i="4"/>
  <c r="EY16" i="4"/>
  <c r="EY22" i="4"/>
  <c r="EY19" i="4"/>
  <c r="EY14" i="4"/>
  <c r="FI22" i="5"/>
  <c r="FJ22" i="5" s="1"/>
  <c r="FI10" i="5"/>
  <c r="FJ10" i="5" s="1"/>
  <c r="FI13" i="5"/>
  <c r="FJ13" i="5" s="1"/>
  <c r="FI23" i="5"/>
  <c r="FJ23" i="5" s="1"/>
  <c r="FI17" i="5"/>
  <c r="FJ17" i="5" s="1"/>
  <c r="FI12" i="5"/>
  <c r="FJ12" i="5" s="1"/>
  <c r="FI18" i="5"/>
  <c r="FJ18" i="5" s="1"/>
  <c r="FP26" i="6"/>
  <c r="FQ18" i="6" s="1"/>
  <c r="FJ21" i="5"/>
  <c r="FI24" i="5"/>
  <c r="FJ24" i="5" s="1"/>
  <c r="FI20" i="5"/>
  <c r="FJ20" i="5" s="1"/>
  <c r="FI9" i="5"/>
  <c r="FJ9" i="5" s="1"/>
  <c r="FI19" i="5"/>
  <c r="FJ19" i="5" s="1"/>
  <c r="FI14" i="5"/>
  <c r="FJ14" i="5" s="1"/>
  <c r="FI25" i="5"/>
  <c r="FJ25" i="5" s="1"/>
  <c r="FI11" i="5"/>
  <c r="FJ11" i="5" s="1"/>
  <c r="FI15" i="5"/>
  <c r="FJ15" i="5" s="1"/>
  <c r="FI16" i="5"/>
  <c r="FJ16" i="5" s="1"/>
  <c r="FB25" i="4" l="1"/>
  <c r="FB10" i="4"/>
  <c r="FB9" i="4"/>
  <c r="FB15" i="4"/>
  <c r="FB17" i="4"/>
  <c r="FB20" i="4"/>
  <c r="FB14" i="4"/>
  <c r="FB16" i="4"/>
  <c r="FB24" i="4"/>
  <c r="FB19" i="4"/>
  <c r="FB21" i="4"/>
  <c r="FB23" i="4"/>
  <c r="FB12" i="4"/>
  <c r="FB18" i="4"/>
  <c r="FB22" i="4"/>
  <c r="FB11" i="4"/>
  <c r="FQ25" i="6"/>
  <c r="FT25" i="6" s="1"/>
  <c r="EY26" i="4"/>
  <c r="FQ16" i="6"/>
  <c r="FT16" i="6" s="1"/>
  <c r="FQ23" i="6"/>
  <c r="FT23" i="6" s="1"/>
  <c r="FQ17" i="6"/>
  <c r="FT17" i="6" s="1"/>
  <c r="FQ9" i="6"/>
  <c r="FT9" i="6" s="1"/>
  <c r="FQ21" i="6"/>
  <c r="FT21" i="6" s="1"/>
  <c r="FQ11" i="6"/>
  <c r="FT11" i="6" s="1"/>
  <c r="FQ19" i="6"/>
  <c r="FT19" i="6" s="1"/>
  <c r="FQ22" i="6"/>
  <c r="FT22" i="6" s="1"/>
  <c r="FQ24" i="6"/>
  <c r="FT24" i="6" s="1"/>
  <c r="FQ13" i="6"/>
  <c r="FT13" i="6" s="1"/>
  <c r="FQ12" i="6"/>
  <c r="FT12" i="6" s="1"/>
  <c r="FQ14" i="6"/>
  <c r="FT14" i="6" s="1"/>
  <c r="FQ10" i="6"/>
  <c r="FT10" i="6" s="1"/>
  <c r="FQ15" i="6"/>
  <c r="FT15" i="6" s="1"/>
  <c r="FQ20" i="6"/>
  <c r="FT20" i="6" s="1"/>
  <c r="FJ26" i="5"/>
  <c r="FK14" i="5" s="1"/>
  <c r="FT18" i="6"/>
  <c r="EZ26" i="4" l="1"/>
  <c r="FA26" i="4"/>
  <c r="FC20" i="4" s="1"/>
  <c r="FD20" i="4" s="1"/>
  <c r="FK11" i="5"/>
  <c r="FN11" i="5" s="1"/>
  <c r="FK23" i="5"/>
  <c r="FK24" i="5"/>
  <c r="FN24" i="5" s="1"/>
  <c r="FK22" i="5"/>
  <c r="FN22" i="5" s="1"/>
  <c r="FK21" i="5"/>
  <c r="FN21" i="5" s="1"/>
  <c r="FK16" i="5"/>
  <c r="FN16" i="5" s="1"/>
  <c r="FK10" i="5"/>
  <c r="FN10" i="5" s="1"/>
  <c r="FQ26" i="6"/>
  <c r="FR26" i="6" s="1"/>
  <c r="FK9" i="5"/>
  <c r="FN9" i="5" s="1"/>
  <c r="FK15" i="5"/>
  <c r="FN15" i="5" s="1"/>
  <c r="FK17" i="5"/>
  <c r="FK25" i="5"/>
  <c r="FN25" i="5" s="1"/>
  <c r="FK19" i="5"/>
  <c r="FN19" i="5" s="1"/>
  <c r="FK12" i="5"/>
  <c r="FN12" i="5" s="1"/>
  <c r="FK20" i="5"/>
  <c r="FN20" i="5" s="1"/>
  <c r="FK18" i="5"/>
  <c r="FN18" i="5" s="1"/>
  <c r="FK13" i="5"/>
  <c r="FS26" i="6"/>
  <c r="FN14" i="5"/>
  <c r="FN23" i="5"/>
  <c r="FN17" i="5"/>
  <c r="FC21" i="4" l="1"/>
  <c r="FD21" i="4" s="1"/>
  <c r="FC25" i="4"/>
  <c r="FD25" i="4" s="1"/>
  <c r="FC10" i="4"/>
  <c r="FD10" i="4" s="1"/>
  <c r="FC14" i="4"/>
  <c r="FD14" i="4" s="1"/>
  <c r="FC23" i="4"/>
  <c r="FD23" i="4" s="1"/>
  <c r="FC24" i="4"/>
  <c r="FD24" i="4" s="1"/>
  <c r="FC17" i="4"/>
  <c r="FD17" i="4" s="1"/>
  <c r="FC22" i="4"/>
  <c r="FD22" i="4" s="1"/>
  <c r="FC12" i="4"/>
  <c r="FD12" i="4" s="1"/>
  <c r="FC18" i="4"/>
  <c r="FD18" i="4" s="1"/>
  <c r="FC13" i="4"/>
  <c r="FD13" i="4" s="1"/>
  <c r="FC19" i="4"/>
  <c r="FD19" i="4" s="1"/>
  <c r="FC11" i="4"/>
  <c r="FD11" i="4" s="1"/>
  <c r="FC16" i="4"/>
  <c r="FD16" i="4" s="1"/>
  <c r="FC15" i="4"/>
  <c r="FD15" i="4" s="1"/>
  <c r="FC9" i="4"/>
  <c r="FD9" i="4" s="1"/>
  <c r="FK26" i="5"/>
  <c r="FL26" i="5" s="1"/>
  <c r="FN13" i="5"/>
  <c r="FM26" i="5" s="1"/>
  <c r="FO25" i="5" s="1"/>
  <c r="FU25" i="6"/>
  <c r="FV25" i="6" s="1"/>
  <c r="FU24" i="6"/>
  <c r="FV24" i="6" s="1"/>
  <c r="FU23" i="6"/>
  <c r="FV23" i="6" s="1"/>
  <c r="FU22" i="6"/>
  <c r="FV22" i="6" s="1"/>
  <c r="FU20" i="6"/>
  <c r="FV20" i="6" s="1"/>
  <c r="FU18" i="6"/>
  <c r="FV18" i="6" s="1"/>
  <c r="FU21" i="6"/>
  <c r="FV21" i="6" s="1"/>
  <c r="FU16" i="6"/>
  <c r="FV16" i="6" s="1"/>
  <c r="FU19" i="6"/>
  <c r="FV19" i="6" s="1"/>
  <c r="FU15" i="6"/>
  <c r="FV15" i="6" s="1"/>
  <c r="FU13" i="6"/>
  <c r="FV13" i="6" s="1"/>
  <c r="FU12" i="6"/>
  <c r="FV12" i="6" s="1"/>
  <c r="FU11" i="6"/>
  <c r="FV11" i="6" s="1"/>
  <c r="FU10" i="6"/>
  <c r="FV10" i="6" s="1"/>
  <c r="FU9" i="6"/>
  <c r="FV9" i="6" s="1"/>
  <c r="FU14" i="6"/>
  <c r="FV14" i="6" s="1"/>
  <c r="FU17" i="6"/>
  <c r="FV17" i="6" s="1"/>
  <c r="FP25" i="5" l="1"/>
  <c r="FD26" i="4"/>
  <c r="FE10" i="4" s="1"/>
  <c r="FV26" i="6"/>
  <c r="FW9" i="6" s="1"/>
  <c r="FO12" i="5"/>
  <c r="FP12" i="5" s="1"/>
  <c r="FO18" i="5"/>
  <c r="FP18" i="5" s="1"/>
  <c r="FO24" i="5"/>
  <c r="FP24" i="5" s="1"/>
  <c r="FO9" i="5"/>
  <c r="FP9" i="5" s="1"/>
  <c r="FO14" i="5"/>
  <c r="FP14" i="5" s="1"/>
  <c r="FO21" i="5"/>
  <c r="FP21" i="5" s="1"/>
  <c r="FO13" i="5"/>
  <c r="FP13" i="5" s="1"/>
  <c r="FO19" i="5"/>
  <c r="FP19" i="5" s="1"/>
  <c r="FO22" i="5"/>
  <c r="FP22" i="5" s="1"/>
  <c r="FO15" i="5"/>
  <c r="FP15" i="5" s="1"/>
  <c r="FO16" i="5"/>
  <c r="FP16" i="5" s="1"/>
  <c r="FO23" i="5"/>
  <c r="FP23" i="5" s="1"/>
  <c r="FO10" i="5"/>
  <c r="FP10" i="5" s="1"/>
  <c r="FO11" i="5"/>
  <c r="FP11" i="5" s="1"/>
  <c r="FO17" i="5"/>
  <c r="FP17" i="5" s="1"/>
  <c r="FO20" i="5"/>
  <c r="FP20" i="5" s="1"/>
  <c r="FH10" i="4" l="1"/>
  <c r="FE16" i="4"/>
  <c r="FE22" i="4"/>
  <c r="FE21" i="4"/>
  <c r="FE18" i="4"/>
  <c r="FE14" i="4"/>
  <c r="FE9" i="4"/>
  <c r="FE17" i="4"/>
  <c r="FE15" i="4"/>
  <c r="FE24" i="4"/>
  <c r="FE13" i="4"/>
  <c r="FE25" i="4"/>
  <c r="FE20" i="4"/>
  <c r="FE23" i="4"/>
  <c r="FE19" i="4"/>
  <c r="FE12" i="4"/>
  <c r="FE11" i="4"/>
  <c r="FH24" i="4"/>
  <c r="FW25" i="6"/>
  <c r="FZ25" i="6" s="1"/>
  <c r="FW15" i="6"/>
  <c r="FZ15" i="6" s="1"/>
  <c r="FW24" i="6"/>
  <c r="FZ24" i="6" s="1"/>
  <c r="FW11" i="6"/>
  <c r="FZ11" i="6" s="1"/>
  <c r="FW14" i="6"/>
  <c r="FZ14" i="6" s="1"/>
  <c r="FW18" i="6"/>
  <c r="FZ18" i="6" s="1"/>
  <c r="FW10" i="6"/>
  <c r="FZ10" i="6" s="1"/>
  <c r="FW17" i="6"/>
  <c r="FZ17" i="6" s="1"/>
  <c r="FW23" i="6"/>
  <c r="FZ23" i="6" s="1"/>
  <c r="FW22" i="6"/>
  <c r="FZ22" i="6" s="1"/>
  <c r="FW19" i="6"/>
  <c r="FZ19" i="6" s="1"/>
  <c r="FW20" i="6"/>
  <c r="FZ20" i="6" s="1"/>
  <c r="FW21" i="6"/>
  <c r="FZ21" i="6" s="1"/>
  <c r="FW16" i="6"/>
  <c r="FZ16" i="6" s="1"/>
  <c r="FW12" i="6"/>
  <c r="FW13" i="6"/>
  <c r="FZ13" i="6" s="1"/>
  <c r="FZ9" i="6"/>
  <c r="FP26" i="5"/>
  <c r="FQ12" i="5" s="1"/>
  <c r="FT12" i="5" s="1"/>
  <c r="FH21" i="4" l="1"/>
  <c r="FH25" i="4"/>
  <c r="FH12" i="4"/>
  <c r="FH17" i="4"/>
  <c r="FH23" i="4"/>
  <c r="FH14" i="4"/>
  <c r="FH20" i="4"/>
  <c r="FH18" i="4"/>
  <c r="FH13" i="4"/>
  <c r="FH22" i="4"/>
  <c r="FH19" i="4"/>
  <c r="FH16" i="4"/>
  <c r="FH11" i="4"/>
  <c r="FH15" i="4"/>
  <c r="FH9" i="4"/>
  <c r="FE26" i="4"/>
  <c r="FQ25" i="5"/>
  <c r="FT25" i="5" s="1"/>
  <c r="FQ21" i="5"/>
  <c r="FT21" i="5" s="1"/>
  <c r="FQ10" i="5"/>
  <c r="FT10" i="5" s="1"/>
  <c r="FQ19" i="5"/>
  <c r="FT19" i="5" s="1"/>
  <c r="FQ22" i="5"/>
  <c r="FT22" i="5" s="1"/>
  <c r="FQ23" i="5"/>
  <c r="FT23" i="5" s="1"/>
  <c r="FW26" i="6"/>
  <c r="FX26" i="6" s="1"/>
  <c r="FZ12" i="6"/>
  <c r="FY26" i="6" s="1"/>
  <c r="FQ9" i="5"/>
  <c r="FT9" i="5" s="1"/>
  <c r="FQ24" i="5"/>
  <c r="FT24" i="5" s="1"/>
  <c r="FQ17" i="5"/>
  <c r="FT17" i="5" s="1"/>
  <c r="FQ16" i="5"/>
  <c r="FT16" i="5" s="1"/>
  <c r="FQ20" i="5"/>
  <c r="FT20" i="5" s="1"/>
  <c r="FQ13" i="5"/>
  <c r="FT13" i="5" s="1"/>
  <c r="FQ11" i="5"/>
  <c r="FT11" i="5" s="1"/>
  <c r="FQ18" i="5"/>
  <c r="FT18" i="5" s="1"/>
  <c r="FQ15" i="5"/>
  <c r="FT15" i="5" s="1"/>
  <c r="FQ14" i="5"/>
  <c r="FT14" i="5" s="1"/>
  <c r="FG26" i="4" l="1"/>
  <c r="FI21" i="4" s="1"/>
  <c r="FJ21" i="4" s="1"/>
  <c r="FF26" i="4"/>
  <c r="FQ26" i="5"/>
  <c r="FR26" i="5" s="1"/>
  <c r="FS26" i="5"/>
  <c r="FU21" i="5" s="1"/>
  <c r="GA25" i="6"/>
  <c r="GB25" i="6" s="1"/>
  <c r="GA23" i="6"/>
  <c r="GB23" i="6" s="1"/>
  <c r="GA22" i="6"/>
  <c r="GB22" i="6" s="1"/>
  <c r="GA24" i="6"/>
  <c r="GB24" i="6" s="1"/>
  <c r="GA21" i="6"/>
  <c r="GB21" i="6" s="1"/>
  <c r="GA19" i="6"/>
  <c r="GB19" i="6" s="1"/>
  <c r="GA14" i="6"/>
  <c r="GB14" i="6" s="1"/>
  <c r="GA17" i="6"/>
  <c r="GB17" i="6" s="1"/>
  <c r="GA13" i="6"/>
  <c r="GB13" i="6" s="1"/>
  <c r="GA12" i="6"/>
  <c r="GB12" i="6" s="1"/>
  <c r="GA11" i="6"/>
  <c r="GB11" i="6" s="1"/>
  <c r="GA10" i="6"/>
  <c r="GB10" i="6" s="1"/>
  <c r="GA9" i="6"/>
  <c r="GB9" i="6" s="1"/>
  <c r="GA20" i="6"/>
  <c r="GB20" i="6" s="1"/>
  <c r="GA18" i="6"/>
  <c r="GB18" i="6" s="1"/>
  <c r="GA16" i="6"/>
  <c r="GB16" i="6" s="1"/>
  <c r="GA15" i="6"/>
  <c r="GB15" i="6" s="1"/>
  <c r="FI10" i="4" l="1"/>
  <c r="FJ10" i="4" s="1"/>
  <c r="FI11" i="4"/>
  <c r="FJ11" i="4" s="1"/>
  <c r="FI17" i="4"/>
  <c r="FJ17" i="4" s="1"/>
  <c r="FI25" i="4"/>
  <c r="FJ25" i="4" s="1"/>
  <c r="FI19" i="4"/>
  <c r="FJ19" i="4" s="1"/>
  <c r="FI9" i="4"/>
  <c r="FJ9" i="4" s="1"/>
  <c r="FI15" i="4"/>
  <c r="FJ15" i="4" s="1"/>
  <c r="FI24" i="4"/>
  <c r="FJ24" i="4" s="1"/>
  <c r="FI13" i="4"/>
  <c r="FJ13" i="4" s="1"/>
  <c r="FI12" i="4"/>
  <c r="FJ12" i="4" s="1"/>
  <c r="FI20" i="4"/>
  <c r="FJ20" i="4" s="1"/>
  <c r="FI16" i="4"/>
  <c r="FJ16" i="4" s="1"/>
  <c r="FI22" i="4"/>
  <c r="FJ22" i="4" s="1"/>
  <c r="FI18" i="4"/>
  <c r="FJ18" i="4" s="1"/>
  <c r="FI23" i="4"/>
  <c r="FJ23" i="4" s="1"/>
  <c r="FI14" i="4"/>
  <c r="FJ14" i="4" s="1"/>
  <c r="FV21" i="5"/>
  <c r="FU25" i="5"/>
  <c r="FV25" i="5" s="1"/>
  <c r="FU20" i="5"/>
  <c r="FV20" i="5" s="1"/>
  <c r="FU13" i="5"/>
  <c r="FV13" i="5" s="1"/>
  <c r="FU19" i="5"/>
  <c r="FV19" i="5" s="1"/>
  <c r="FU10" i="5"/>
  <c r="FV10" i="5" s="1"/>
  <c r="FU9" i="5"/>
  <c r="FV9" i="5" s="1"/>
  <c r="FU22" i="5"/>
  <c r="FV22" i="5" s="1"/>
  <c r="FU16" i="5"/>
  <c r="FV16" i="5" s="1"/>
  <c r="FU23" i="5"/>
  <c r="FV23" i="5" s="1"/>
  <c r="FU12" i="5"/>
  <c r="FV12" i="5" s="1"/>
  <c r="FU11" i="5"/>
  <c r="FV11" i="5" s="1"/>
  <c r="FU24" i="5"/>
  <c r="FV24" i="5" s="1"/>
  <c r="FU18" i="5"/>
  <c r="FV18" i="5" s="1"/>
  <c r="FU17" i="5"/>
  <c r="FV17" i="5" s="1"/>
  <c r="FU15" i="5"/>
  <c r="FV15" i="5" s="1"/>
  <c r="FU14" i="5"/>
  <c r="FV14" i="5" s="1"/>
  <c r="GB26" i="6"/>
  <c r="FJ26" i="4" l="1"/>
  <c r="FK20" i="4" s="1"/>
  <c r="FV26" i="5"/>
  <c r="FW25" i="5" s="1"/>
  <c r="GC24" i="6"/>
  <c r="GC21" i="6"/>
  <c r="GC17" i="6"/>
  <c r="GC10" i="6"/>
  <c r="GC11" i="6"/>
  <c r="GC25" i="6"/>
  <c r="GC19" i="6"/>
  <c r="GC12" i="6"/>
  <c r="GC23" i="6"/>
  <c r="GC18" i="6"/>
  <c r="GC14" i="6"/>
  <c r="GC13" i="6"/>
  <c r="GC20" i="6"/>
  <c r="GC16" i="6"/>
  <c r="GC22" i="6"/>
  <c r="GC9" i="6"/>
  <c r="GC15" i="6"/>
  <c r="FN20" i="4" l="1"/>
  <c r="FK9" i="4"/>
  <c r="FK14" i="4"/>
  <c r="FK21" i="4"/>
  <c r="FK12" i="4"/>
  <c r="FK24" i="4"/>
  <c r="FK18" i="4"/>
  <c r="FK15" i="4"/>
  <c r="FK13" i="4"/>
  <c r="FK16" i="4"/>
  <c r="FK17" i="4"/>
  <c r="FK25" i="4"/>
  <c r="FK19" i="4"/>
  <c r="FK22" i="4"/>
  <c r="FK23" i="4"/>
  <c r="FK11" i="4"/>
  <c r="FK10" i="4"/>
  <c r="FW20" i="5"/>
  <c r="FZ20" i="5" s="1"/>
  <c r="FW24" i="5"/>
  <c r="FZ24" i="5" s="1"/>
  <c r="FW9" i="5"/>
  <c r="FZ9" i="5" s="1"/>
  <c r="FW16" i="5"/>
  <c r="FZ16" i="5" s="1"/>
  <c r="FW18" i="5"/>
  <c r="FZ18" i="5" s="1"/>
  <c r="FW21" i="5"/>
  <c r="FZ21" i="5" s="1"/>
  <c r="FW11" i="5"/>
  <c r="FZ11" i="5" s="1"/>
  <c r="FW13" i="5"/>
  <c r="FZ13" i="5" s="1"/>
  <c r="FW17" i="5"/>
  <c r="FZ17" i="5" s="1"/>
  <c r="FW19" i="5"/>
  <c r="FZ19" i="5" s="1"/>
  <c r="FW22" i="5"/>
  <c r="FZ22" i="5" s="1"/>
  <c r="FW15" i="5"/>
  <c r="FZ15" i="5" s="1"/>
  <c r="FW23" i="5"/>
  <c r="FZ23" i="5" s="1"/>
  <c r="FW10" i="5"/>
  <c r="FW12" i="5"/>
  <c r="FZ12" i="5" s="1"/>
  <c r="FW14" i="5"/>
  <c r="FZ14" i="5" s="1"/>
  <c r="GC26" i="6"/>
  <c r="GD26" i="6" s="1"/>
  <c r="GF9" i="6"/>
  <c r="GF13" i="6"/>
  <c r="GF12" i="6"/>
  <c r="GF10" i="6"/>
  <c r="GF22" i="6"/>
  <c r="GF14" i="6"/>
  <c r="GF19" i="6"/>
  <c r="GF17" i="6"/>
  <c r="GF16" i="6"/>
  <c r="GF18" i="6"/>
  <c r="GF25" i="6"/>
  <c r="GF21" i="6"/>
  <c r="GF15" i="6"/>
  <c r="GF20" i="6"/>
  <c r="GF23" i="6"/>
  <c r="GF11" i="6"/>
  <c r="GF24" i="6"/>
  <c r="FZ25" i="5"/>
  <c r="FN18" i="4" l="1"/>
  <c r="FN21" i="4"/>
  <c r="FN22" i="4"/>
  <c r="FN17" i="4"/>
  <c r="FN14" i="4"/>
  <c r="FN23" i="4"/>
  <c r="FN12" i="4"/>
  <c r="FN16" i="4"/>
  <c r="FN9" i="4"/>
  <c r="FN24" i="4"/>
  <c r="FN25" i="4"/>
  <c r="FN10" i="4"/>
  <c r="FN13" i="4"/>
  <c r="FN19" i="4"/>
  <c r="FN11" i="4"/>
  <c r="FN15" i="4"/>
  <c r="FK26" i="4"/>
  <c r="FL26" i="4" s="1"/>
  <c r="FW26" i="5"/>
  <c r="FX26" i="5" s="1"/>
  <c r="FZ10" i="5"/>
  <c r="FY26" i="5" s="1"/>
  <c r="GE26" i="6"/>
  <c r="FM26" i="4" l="1"/>
  <c r="FO12" i="4" s="1"/>
  <c r="FP12" i="4" s="1"/>
  <c r="GG23" i="6"/>
  <c r="GH23" i="6" s="1"/>
  <c r="GG22" i="6"/>
  <c r="GH22" i="6" s="1"/>
  <c r="GG24" i="6"/>
  <c r="GH24" i="6" s="1"/>
  <c r="GG25" i="6"/>
  <c r="GH25" i="6" s="1"/>
  <c r="GG20" i="6"/>
  <c r="GH20" i="6" s="1"/>
  <c r="GG18" i="6"/>
  <c r="GH18" i="6" s="1"/>
  <c r="GG16" i="6"/>
  <c r="GH16" i="6" s="1"/>
  <c r="GG15" i="6"/>
  <c r="GH15" i="6" s="1"/>
  <c r="GG14" i="6"/>
  <c r="GH14" i="6" s="1"/>
  <c r="GG13" i="6"/>
  <c r="GH13" i="6" s="1"/>
  <c r="GG12" i="6"/>
  <c r="GH12" i="6" s="1"/>
  <c r="GG11" i="6"/>
  <c r="GH11" i="6" s="1"/>
  <c r="GG10" i="6"/>
  <c r="GH10" i="6" s="1"/>
  <c r="GG9" i="6"/>
  <c r="GH9" i="6" s="1"/>
  <c r="GG21" i="6"/>
  <c r="GH21" i="6" s="1"/>
  <c r="GG19" i="6"/>
  <c r="GH19" i="6" s="1"/>
  <c r="GG17" i="6"/>
  <c r="GH17" i="6" s="1"/>
  <c r="GA24" i="5"/>
  <c r="GB24" i="5" s="1"/>
  <c r="GA23" i="5"/>
  <c r="GB23" i="5" s="1"/>
  <c r="GA21" i="5"/>
  <c r="GB21" i="5" s="1"/>
  <c r="GA20" i="5"/>
  <c r="GB20" i="5" s="1"/>
  <c r="GA18" i="5"/>
  <c r="GB18" i="5" s="1"/>
  <c r="GA16" i="5"/>
  <c r="GB16" i="5" s="1"/>
  <c r="GA14" i="5"/>
  <c r="GB14" i="5" s="1"/>
  <c r="GA25" i="5"/>
  <c r="GB25" i="5" s="1"/>
  <c r="GA22" i="5"/>
  <c r="GB22" i="5" s="1"/>
  <c r="GA19" i="5"/>
  <c r="GB19" i="5" s="1"/>
  <c r="GA17" i="5"/>
  <c r="GB17" i="5" s="1"/>
  <c r="GA13" i="5"/>
  <c r="GB13" i="5" s="1"/>
  <c r="GA12" i="5"/>
  <c r="GB12" i="5" s="1"/>
  <c r="GA10" i="5"/>
  <c r="GB10" i="5" s="1"/>
  <c r="GA9" i="5"/>
  <c r="GB9" i="5" s="1"/>
  <c r="GA15" i="5"/>
  <c r="GB15" i="5" s="1"/>
  <c r="GA11" i="5"/>
  <c r="GB11" i="5" s="1"/>
  <c r="FO25" i="4" l="1"/>
  <c r="FP25" i="4" s="1"/>
  <c r="FO22" i="4"/>
  <c r="FP22" i="4" s="1"/>
  <c r="FO10" i="4"/>
  <c r="FP10" i="4" s="1"/>
  <c r="FO16" i="4"/>
  <c r="FP16" i="4" s="1"/>
  <c r="FO21" i="4"/>
  <c r="FP21" i="4" s="1"/>
  <c r="FO13" i="4"/>
  <c r="FP13" i="4" s="1"/>
  <c r="FO23" i="4"/>
  <c r="FP23" i="4" s="1"/>
  <c r="FO18" i="4"/>
  <c r="FP18" i="4" s="1"/>
  <c r="FO17" i="4"/>
  <c r="FP17" i="4" s="1"/>
  <c r="FO19" i="4"/>
  <c r="FP19" i="4" s="1"/>
  <c r="FO15" i="4"/>
  <c r="FP15" i="4" s="1"/>
  <c r="FO20" i="4"/>
  <c r="FP20" i="4" s="1"/>
  <c r="FO11" i="4"/>
  <c r="FP11" i="4" s="1"/>
  <c r="FO24" i="4"/>
  <c r="FP24" i="4" s="1"/>
  <c r="FO14" i="4"/>
  <c r="FP14" i="4" s="1"/>
  <c r="FO9" i="4"/>
  <c r="FP9" i="4" s="1"/>
  <c r="GH26" i="6"/>
  <c r="GI11" i="6" s="1"/>
  <c r="GJ11" i="6" s="1"/>
  <c r="GK11" i="6" s="1"/>
  <c r="GB26" i="5"/>
  <c r="FP26" i="4" l="1"/>
  <c r="FQ15" i="4" s="1"/>
  <c r="GI23" i="6"/>
  <c r="GJ23" i="6" s="1"/>
  <c r="GK23" i="6" s="1"/>
  <c r="GI9" i="6"/>
  <c r="GJ9" i="6" s="1"/>
  <c r="GI12" i="6"/>
  <c r="GJ12" i="6" s="1"/>
  <c r="GK12" i="6" s="1"/>
  <c r="GI15" i="6"/>
  <c r="GJ15" i="6" s="1"/>
  <c r="GK15" i="6" s="1"/>
  <c r="GI19" i="6"/>
  <c r="GJ19" i="6" s="1"/>
  <c r="GK19" i="6" s="1"/>
  <c r="GL11" i="6"/>
  <c r="GI25" i="6"/>
  <c r="GJ25" i="6" s="1"/>
  <c r="GK25" i="6" s="1"/>
  <c r="GI16" i="6"/>
  <c r="GJ16" i="6" s="1"/>
  <c r="GK16" i="6" s="1"/>
  <c r="GI14" i="6"/>
  <c r="GJ14" i="6" s="1"/>
  <c r="GK14" i="6" s="1"/>
  <c r="GI20" i="6"/>
  <c r="GJ20" i="6" s="1"/>
  <c r="GK20" i="6" s="1"/>
  <c r="GI17" i="6"/>
  <c r="GJ17" i="6" s="1"/>
  <c r="GK17" i="6" s="1"/>
  <c r="GI18" i="6"/>
  <c r="GJ18" i="6" s="1"/>
  <c r="GK18" i="6" s="1"/>
  <c r="GI22" i="6"/>
  <c r="GJ22" i="6" s="1"/>
  <c r="GK22" i="6" s="1"/>
  <c r="GI24" i="6"/>
  <c r="GJ24" i="6" s="1"/>
  <c r="GK24" i="6" s="1"/>
  <c r="GI21" i="6"/>
  <c r="GJ21" i="6" s="1"/>
  <c r="GK21" i="6" s="1"/>
  <c r="GI13" i="6"/>
  <c r="GJ13" i="6" s="1"/>
  <c r="GK13" i="6" s="1"/>
  <c r="GI10" i="6"/>
  <c r="GJ10" i="6" s="1"/>
  <c r="GK10" i="6" s="1"/>
  <c r="GC22" i="5"/>
  <c r="GC17" i="5"/>
  <c r="GC14" i="5"/>
  <c r="GC16" i="5"/>
  <c r="GC12" i="5"/>
  <c r="GC15" i="5"/>
  <c r="GC23" i="5"/>
  <c r="GC13" i="5"/>
  <c r="GC10" i="5"/>
  <c r="GC19" i="5"/>
  <c r="GC24" i="5"/>
  <c r="GC18" i="5"/>
  <c r="GC9" i="5"/>
  <c r="GC25" i="5"/>
  <c r="GC21" i="5"/>
  <c r="GC20" i="5"/>
  <c r="GC11" i="5"/>
  <c r="FT15" i="4"/>
  <c r="FQ11" i="4" l="1"/>
  <c r="FT11" i="4" s="1"/>
  <c r="FQ23" i="4"/>
  <c r="FT23" i="4" s="1"/>
  <c r="FQ22" i="4"/>
  <c r="FT22" i="4" s="1"/>
  <c r="FQ19" i="4"/>
  <c r="FT19" i="4" s="1"/>
  <c r="FQ14" i="4"/>
  <c r="FT14" i="4" s="1"/>
  <c r="FQ17" i="4"/>
  <c r="FT17" i="4" s="1"/>
  <c r="FQ21" i="4"/>
  <c r="FT21" i="4" s="1"/>
  <c r="FQ9" i="4"/>
  <c r="FT9" i="4" s="1"/>
  <c r="FQ10" i="4"/>
  <c r="FT10" i="4" s="1"/>
  <c r="FQ13" i="4"/>
  <c r="FT13" i="4" s="1"/>
  <c r="FQ12" i="4"/>
  <c r="FT12" i="4" s="1"/>
  <c r="FQ16" i="4"/>
  <c r="FT16" i="4" s="1"/>
  <c r="FQ24" i="4"/>
  <c r="FT24" i="4" s="1"/>
  <c r="FQ20" i="4"/>
  <c r="FT20" i="4" s="1"/>
  <c r="FQ25" i="4"/>
  <c r="FT25" i="4" s="1"/>
  <c r="FQ18" i="4"/>
  <c r="GL12" i="6"/>
  <c r="GL23" i="6"/>
  <c r="GL10" i="6"/>
  <c r="GL22" i="6"/>
  <c r="GL14" i="6"/>
  <c r="GL13" i="6"/>
  <c r="GL18" i="6"/>
  <c r="GL16" i="6"/>
  <c r="GL19" i="6"/>
  <c r="GL21" i="6"/>
  <c r="GL17" i="6"/>
  <c r="GL25" i="6"/>
  <c r="GL15" i="6"/>
  <c r="GL24" i="6"/>
  <c r="GL20" i="6"/>
  <c r="GI26" i="6"/>
  <c r="GJ26" i="6"/>
  <c r="GK26" i="6" s="1"/>
  <c r="GK9" i="6"/>
  <c r="GF25" i="5"/>
  <c r="GF19" i="5"/>
  <c r="GF15" i="5"/>
  <c r="GF17" i="5"/>
  <c r="GF11" i="5"/>
  <c r="GC26" i="5"/>
  <c r="GD26" i="5" s="1"/>
  <c r="GF9" i="5"/>
  <c r="GF10" i="5"/>
  <c r="GF12" i="5"/>
  <c r="GF22" i="5"/>
  <c r="GF20" i="5"/>
  <c r="GF18" i="5"/>
  <c r="GF13" i="5"/>
  <c r="GF16" i="5"/>
  <c r="GF21" i="5"/>
  <c r="GF24" i="5"/>
  <c r="GF23" i="5"/>
  <c r="GF14" i="5"/>
  <c r="FQ26" i="4" l="1"/>
  <c r="FR26" i="4" s="1"/>
  <c r="FT18" i="4"/>
  <c r="FS26" i="4"/>
  <c r="FU16" i="4" s="1"/>
  <c r="FV16" i="4" s="1"/>
  <c r="GL9" i="6"/>
  <c r="E26" i="7"/>
  <c r="GE26" i="5"/>
  <c r="FU9" i="4" l="1"/>
  <c r="FV9" i="4" s="1"/>
  <c r="FU24" i="4"/>
  <c r="FV24" i="4" s="1"/>
  <c r="FU23" i="4"/>
  <c r="FV23" i="4" s="1"/>
  <c r="FU22" i="4"/>
  <c r="FV22" i="4" s="1"/>
  <c r="FU15" i="4"/>
  <c r="FV15" i="4" s="1"/>
  <c r="FU17" i="4"/>
  <c r="FV17" i="4" s="1"/>
  <c r="FU21" i="4"/>
  <c r="FV21" i="4" s="1"/>
  <c r="FU25" i="4"/>
  <c r="FV25" i="4" s="1"/>
  <c r="FU14" i="4"/>
  <c r="FV14" i="4" s="1"/>
  <c r="FU12" i="4"/>
  <c r="FV12" i="4" s="1"/>
  <c r="FU20" i="4"/>
  <c r="FV20" i="4" s="1"/>
  <c r="FU13" i="4"/>
  <c r="FV13" i="4" s="1"/>
  <c r="FU19" i="4"/>
  <c r="FV19" i="4" s="1"/>
  <c r="FU11" i="4"/>
  <c r="FV11" i="4" s="1"/>
  <c r="FU10" i="4"/>
  <c r="FV10" i="4" s="1"/>
  <c r="FU18" i="4"/>
  <c r="FV18" i="4" s="1"/>
  <c r="GG23" i="5"/>
  <c r="GH23" i="5" s="1"/>
  <c r="GG21" i="5"/>
  <c r="GH21" i="5" s="1"/>
  <c r="GG24" i="5"/>
  <c r="GH24" i="5" s="1"/>
  <c r="GG20" i="5"/>
  <c r="GH20" i="5" s="1"/>
  <c r="GG18" i="5"/>
  <c r="GH18" i="5" s="1"/>
  <c r="GG16" i="5"/>
  <c r="GH16" i="5" s="1"/>
  <c r="GG14" i="5"/>
  <c r="GH14" i="5" s="1"/>
  <c r="GG25" i="5"/>
  <c r="GH25" i="5" s="1"/>
  <c r="GG15" i="5"/>
  <c r="GH15" i="5" s="1"/>
  <c r="GG19" i="5"/>
  <c r="GH19" i="5" s="1"/>
  <c r="GG17" i="5"/>
  <c r="GH17" i="5" s="1"/>
  <c r="GG11" i="5"/>
  <c r="GH11" i="5" s="1"/>
  <c r="GG9" i="5"/>
  <c r="GH9" i="5" s="1"/>
  <c r="GG22" i="5"/>
  <c r="GH22" i="5" s="1"/>
  <c r="GG12" i="5"/>
  <c r="GH12" i="5" s="1"/>
  <c r="GG10" i="5"/>
  <c r="GH10" i="5" s="1"/>
  <c r="GG13" i="5"/>
  <c r="GH13" i="5" s="1"/>
  <c r="FV26" i="4" l="1"/>
  <c r="FW9" i="4" s="1"/>
  <c r="GH26" i="5"/>
  <c r="FW21" i="4"/>
  <c r="FW12" i="4"/>
  <c r="FW19" i="4"/>
  <c r="FW20" i="4"/>
  <c r="FW13" i="4"/>
  <c r="FW25" i="4"/>
  <c r="FW23" i="4"/>
  <c r="FW10" i="4"/>
  <c r="FW11" i="4"/>
  <c r="FW16" i="4"/>
  <c r="FW17" i="4"/>
  <c r="FW14" i="4"/>
  <c r="FW15" i="4"/>
  <c r="FW18" i="4" l="1"/>
  <c r="FZ18" i="4" s="1"/>
  <c r="FW24" i="4"/>
  <c r="FW22" i="4"/>
  <c r="GI20" i="5"/>
  <c r="GJ20" i="5" s="1"/>
  <c r="GK20" i="5" s="1"/>
  <c r="GI15" i="5"/>
  <c r="GJ15" i="5" s="1"/>
  <c r="GK15" i="5" s="1"/>
  <c r="GI18" i="5"/>
  <c r="GJ18" i="5" s="1"/>
  <c r="GK18" i="5" s="1"/>
  <c r="GI12" i="5"/>
  <c r="GJ12" i="5" s="1"/>
  <c r="GK12" i="5" s="1"/>
  <c r="GI21" i="5"/>
  <c r="GJ21" i="5" s="1"/>
  <c r="GK21" i="5" s="1"/>
  <c r="GI16" i="5"/>
  <c r="GJ16" i="5" s="1"/>
  <c r="GK16" i="5" s="1"/>
  <c r="GI24" i="5"/>
  <c r="GJ24" i="5" s="1"/>
  <c r="GK24" i="5" s="1"/>
  <c r="GI10" i="5"/>
  <c r="GJ10" i="5" s="1"/>
  <c r="GK10" i="5" s="1"/>
  <c r="GI19" i="5"/>
  <c r="GJ19" i="5" s="1"/>
  <c r="GK19" i="5" s="1"/>
  <c r="GI25" i="5"/>
  <c r="GJ25" i="5" s="1"/>
  <c r="GK25" i="5" s="1"/>
  <c r="GI11" i="5"/>
  <c r="GJ11" i="5" s="1"/>
  <c r="GK11" i="5" s="1"/>
  <c r="GI13" i="5"/>
  <c r="GJ13" i="5" s="1"/>
  <c r="GK13" i="5" s="1"/>
  <c r="GI22" i="5"/>
  <c r="GJ22" i="5" s="1"/>
  <c r="GK22" i="5" s="1"/>
  <c r="GI17" i="5"/>
  <c r="GJ17" i="5" s="1"/>
  <c r="GK17" i="5" s="1"/>
  <c r="GI23" i="5"/>
  <c r="GJ23" i="5" s="1"/>
  <c r="GK23" i="5" s="1"/>
  <c r="GI9" i="5"/>
  <c r="GI14" i="5"/>
  <c r="GJ14" i="5" s="1"/>
  <c r="GK14" i="5" s="1"/>
  <c r="FZ16" i="4"/>
  <c r="FZ24" i="4"/>
  <c r="FZ19" i="4"/>
  <c r="FZ21" i="4"/>
  <c r="FZ14" i="4"/>
  <c r="FZ25" i="4"/>
  <c r="FZ20" i="4"/>
  <c r="FZ23" i="4"/>
  <c r="FZ10" i="4"/>
  <c r="FZ15" i="4"/>
  <c r="FZ17" i="4"/>
  <c r="FZ11" i="4"/>
  <c r="FZ22" i="4"/>
  <c r="FZ13" i="4"/>
  <c r="FZ12" i="4"/>
  <c r="FZ9" i="4"/>
  <c r="FW26" i="4" l="1"/>
  <c r="FX26" i="4" s="1"/>
  <c r="GL17" i="5"/>
  <c r="GL25" i="5"/>
  <c r="GL16" i="5"/>
  <c r="GL15" i="5"/>
  <c r="GL14" i="5"/>
  <c r="GL22" i="5"/>
  <c r="GL19" i="5"/>
  <c r="GL21" i="5"/>
  <c r="GL20" i="5"/>
  <c r="GI26" i="5"/>
  <c r="GJ9" i="5"/>
  <c r="GL13" i="5"/>
  <c r="GL10" i="5"/>
  <c r="GL12" i="5"/>
  <c r="GL23" i="5"/>
  <c r="GL11" i="5"/>
  <c r="GL24" i="5"/>
  <c r="GL18" i="5"/>
  <c r="FY26" i="4"/>
  <c r="GA23" i="4" s="1"/>
  <c r="GB23" i="4" l="1"/>
  <c r="GJ26" i="5"/>
  <c r="GK26" i="5" s="1"/>
  <c r="GK9" i="5"/>
  <c r="GA12" i="4"/>
  <c r="GB12" i="4" s="1"/>
  <c r="GA19" i="4"/>
  <c r="GB19" i="4" s="1"/>
  <c r="GA13" i="4"/>
  <c r="GB13" i="4" s="1"/>
  <c r="GA9" i="4"/>
  <c r="GB9" i="4" s="1"/>
  <c r="GA11" i="4"/>
  <c r="GB11" i="4" s="1"/>
  <c r="GA10" i="4"/>
  <c r="GB10" i="4" s="1"/>
  <c r="GA17" i="4"/>
  <c r="GB17" i="4" s="1"/>
  <c r="GA22" i="4"/>
  <c r="GB22" i="4" s="1"/>
  <c r="GA24" i="4"/>
  <c r="GB24" i="4" s="1"/>
  <c r="GA15" i="4"/>
  <c r="GB15" i="4" s="1"/>
  <c r="GA18" i="4"/>
  <c r="GB18" i="4" s="1"/>
  <c r="GA25" i="4"/>
  <c r="GB25" i="4" s="1"/>
  <c r="GA20" i="4"/>
  <c r="GB20" i="4" s="1"/>
  <c r="GA14" i="4"/>
  <c r="GB14" i="4" s="1"/>
  <c r="GA21" i="4"/>
  <c r="GB21" i="4" s="1"/>
  <c r="GA16" i="4"/>
  <c r="GB16" i="4" s="1"/>
  <c r="D26" i="7" l="1"/>
  <c r="GL9" i="5"/>
  <c r="GB26" i="4"/>
  <c r="GC15" i="4" s="1"/>
  <c r="GL15" i="4" l="1"/>
  <c r="GC17" i="4"/>
  <c r="GC20" i="4"/>
  <c r="GC14" i="4"/>
  <c r="GC23" i="4"/>
  <c r="GC22" i="4"/>
  <c r="GC12" i="4"/>
  <c r="GC19" i="4"/>
  <c r="GC9" i="4"/>
  <c r="GC24" i="4"/>
  <c r="GC21" i="4"/>
  <c r="GC16" i="4"/>
  <c r="GC11" i="4"/>
  <c r="GC13" i="4"/>
  <c r="GC10" i="4"/>
  <c r="GC18" i="4"/>
  <c r="GC25" i="4"/>
  <c r="GF24" i="4"/>
  <c r="GF15" i="4"/>
  <c r="GL12" i="4" l="1"/>
  <c r="GL11" i="4"/>
  <c r="GL13" i="4"/>
  <c r="GL14" i="4"/>
  <c r="GL20" i="4"/>
  <c r="GL10" i="4"/>
  <c r="GL23" i="4"/>
  <c r="GL16" i="4"/>
  <c r="GL21" i="4"/>
  <c r="GL25" i="4"/>
  <c r="GL22" i="4"/>
  <c r="GL24" i="4"/>
  <c r="GL17" i="4"/>
  <c r="GL9" i="4"/>
  <c r="GL18" i="4"/>
  <c r="GL19" i="4"/>
  <c r="GF19" i="4"/>
  <c r="GF12" i="4"/>
  <c r="GF22" i="4"/>
  <c r="GF25" i="4"/>
  <c r="GF18" i="4"/>
  <c r="GF11" i="4"/>
  <c r="GF23" i="4"/>
  <c r="GF14" i="4"/>
  <c r="GF13" i="4"/>
  <c r="GF21" i="4"/>
  <c r="GF20" i="4"/>
  <c r="GF9" i="4"/>
  <c r="GF17" i="4"/>
  <c r="GF16" i="4"/>
  <c r="GC26" i="4"/>
  <c r="GF10" i="4"/>
  <c r="GK26" i="4" l="1"/>
  <c r="GM24" i="4" s="1"/>
  <c r="GN24" i="4" s="1"/>
  <c r="GD26" i="4"/>
  <c r="GE26" i="4"/>
  <c r="GG24" i="4" s="1"/>
  <c r="GH24" i="4" s="1"/>
  <c r="GM15" i="4" l="1"/>
  <c r="GN15" i="4" s="1"/>
  <c r="GM19" i="4"/>
  <c r="GN19" i="4" s="1"/>
  <c r="GM9" i="4"/>
  <c r="GN9" i="4" s="1"/>
  <c r="GM12" i="4"/>
  <c r="GN12" i="4" s="1"/>
  <c r="GM20" i="4"/>
  <c r="GN20" i="4" s="1"/>
  <c r="GM23" i="4"/>
  <c r="GN23" i="4" s="1"/>
  <c r="GM22" i="4"/>
  <c r="GN22" i="4" s="1"/>
  <c r="GM11" i="4"/>
  <c r="GN11" i="4" s="1"/>
  <c r="GM25" i="4"/>
  <c r="GN25" i="4" s="1"/>
  <c r="GM17" i="4"/>
  <c r="GN17" i="4" s="1"/>
  <c r="GM18" i="4"/>
  <c r="GN18" i="4" s="1"/>
  <c r="GM14" i="4"/>
  <c r="GN14" i="4" s="1"/>
  <c r="GM21" i="4"/>
  <c r="GN21" i="4" s="1"/>
  <c r="GM10" i="4"/>
  <c r="GN10" i="4" s="1"/>
  <c r="GM13" i="4"/>
  <c r="GN13" i="4" s="1"/>
  <c r="GM16" i="4"/>
  <c r="GN16" i="4" s="1"/>
  <c r="GG22" i="4"/>
  <c r="GH22" i="4" s="1"/>
  <c r="GG10" i="4"/>
  <c r="GH10" i="4" s="1"/>
  <c r="GG14" i="4"/>
  <c r="GH14" i="4" s="1"/>
  <c r="GG20" i="4"/>
  <c r="GH20" i="4" s="1"/>
  <c r="GG15" i="4"/>
  <c r="GH15" i="4" s="1"/>
  <c r="GG19" i="4"/>
  <c r="GH19" i="4" s="1"/>
  <c r="GG23" i="4"/>
  <c r="GH23" i="4" s="1"/>
  <c r="GG9" i="4"/>
  <c r="GH9" i="4" s="1"/>
  <c r="GG12" i="4"/>
  <c r="GH12" i="4" s="1"/>
  <c r="GG16" i="4"/>
  <c r="GH16" i="4" s="1"/>
  <c r="GG25" i="4"/>
  <c r="GH25" i="4" s="1"/>
  <c r="GG11" i="4"/>
  <c r="GH11" i="4" s="1"/>
  <c r="GG13" i="4"/>
  <c r="GH13" i="4" s="1"/>
  <c r="GG17" i="4"/>
  <c r="GH17" i="4" s="1"/>
  <c r="GG21" i="4"/>
  <c r="GH21" i="4" s="1"/>
  <c r="GG18" i="4"/>
  <c r="GH18" i="4" s="1"/>
  <c r="GN26" i="4" l="1"/>
  <c r="GH26" i="4"/>
  <c r="GI19" i="4" s="1"/>
  <c r="GI25" i="4" l="1"/>
  <c r="GI15" i="4"/>
  <c r="GI12" i="4"/>
  <c r="GI21" i="4"/>
  <c r="GI23" i="4"/>
  <c r="GI16" i="4"/>
  <c r="GI20" i="4"/>
  <c r="GI18" i="4"/>
  <c r="GI11" i="4"/>
  <c r="GI10" i="4"/>
  <c r="GI22" i="4"/>
  <c r="GI17" i="4"/>
  <c r="GI9" i="4"/>
  <c r="GI14" i="4"/>
  <c r="GI13" i="4"/>
  <c r="GI24" i="4"/>
  <c r="GI26" i="4" l="1"/>
  <c r="GJ26" i="4" l="1"/>
  <c r="GO24" i="4" l="1"/>
  <c r="GP24" i="4" s="1"/>
  <c r="GQ24" i="4" s="1"/>
  <c r="GO22" i="4"/>
  <c r="GP22" i="4" s="1"/>
  <c r="GQ22" i="4" s="1"/>
  <c r="GO20" i="4"/>
  <c r="GP20" i="4" s="1"/>
  <c r="GQ20" i="4" s="1"/>
  <c r="GO18" i="4"/>
  <c r="GP18" i="4" s="1"/>
  <c r="GQ18" i="4" s="1"/>
  <c r="GO16" i="4"/>
  <c r="GP16" i="4" s="1"/>
  <c r="GQ16" i="4" s="1"/>
  <c r="GO14" i="4"/>
  <c r="GP14" i="4" s="1"/>
  <c r="GO12" i="4"/>
  <c r="GP12" i="4" s="1"/>
  <c r="GQ12" i="4" s="1"/>
  <c r="GO10" i="4"/>
  <c r="GP10" i="4" s="1"/>
  <c r="GQ10" i="4" s="1"/>
  <c r="GO25" i="4"/>
  <c r="GP25" i="4" s="1"/>
  <c r="GQ25" i="4" s="1"/>
  <c r="GO23" i="4"/>
  <c r="GP23" i="4" s="1"/>
  <c r="GQ23" i="4" s="1"/>
  <c r="GO21" i="4"/>
  <c r="GP21" i="4" s="1"/>
  <c r="GQ21" i="4" s="1"/>
  <c r="GO19" i="4"/>
  <c r="GP19" i="4" s="1"/>
  <c r="GQ19" i="4" s="1"/>
  <c r="GO17" i="4"/>
  <c r="GP17" i="4" s="1"/>
  <c r="GQ17" i="4" s="1"/>
  <c r="GO15" i="4"/>
  <c r="GP15" i="4" s="1"/>
  <c r="GQ15" i="4" s="1"/>
  <c r="GO13" i="4"/>
  <c r="GP13" i="4" s="1"/>
  <c r="GQ13" i="4" s="1"/>
  <c r="GO11" i="4"/>
  <c r="GP11" i="4" s="1"/>
  <c r="GQ11" i="4" s="1"/>
  <c r="GO9" i="4"/>
  <c r="GP9" i="4" s="1"/>
  <c r="GQ9" i="4" s="1"/>
  <c r="GR15" i="4" l="1"/>
  <c r="GR17" i="4"/>
  <c r="GR18" i="4"/>
  <c r="GR19" i="4"/>
  <c r="GR23" i="4"/>
  <c r="GR22" i="4"/>
  <c r="GR9" i="4"/>
  <c r="GR25" i="4"/>
  <c r="GQ14" i="4"/>
  <c r="GR12" i="4"/>
  <c r="GR11" i="4"/>
  <c r="GO26" i="4"/>
  <c r="GR13" i="4"/>
  <c r="GR16" i="4"/>
  <c r="GR21" i="4"/>
  <c r="GR24" i="4"/>
  <c r="GR10" i="4"/>
  <c r="GR20" i="4"/>
  <c r="GP26" i="4" l="1"/>
  <c r="GQ26" i="4" s="1"/>
  <c r="GR14" i="4"/>
  <c r="C26" i="7"/>
</calcChain>
</file>

<file path=xl/sharedStrings.xml><?xml version="1.0" encoding="utf-8"?>
<sst xmlns="http://schemas.openxmlformats.org/spreadsheetml/2006/main" count="5575" uniqueCount="220">
  <si>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</si>
  <si>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</si>
  <si>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</si>
  <si>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</si>
  <si>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</si>
  <si>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</si>
  <si>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</si>
  <si>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</si>
  <si>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</si>
  <si>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</si>
  <si>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</si>
  <si>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</si>
  <si>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</si>
  <si>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</si>
  <si>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</si>
  <si>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</si>
  <si>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</si>
  <si>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</si>
  <si>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</si>
  <si>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</si>
  <si>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</si>
  <si>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</si>
  <si>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</si>
  <si>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</si>
  <si>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</si>
  <si>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</si>
  <si>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</si>
  <si>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</si>
  <si>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</si>
  <si>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</si>
  <si>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</si>
  <si>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</si>
  <si>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</si>
  <si>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</si>
  <si>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</si>
  <si>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</si>
  <si>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</si>
  <si>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</si>
  <si>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</si>
  <si>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</si>
  <si>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</si>
  <si>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</si>
  <si>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</si>
  <si>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</si>
  <si>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</si>
  <si>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</si>
  <si>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</si>
  <si>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</si>
  <si>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</si>
  <si>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</si>
  <si>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</si>
  <si>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</si>
  <si>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</si>
  <si>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</si>
  <si>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</si>
  <si>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</si>
  <si>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</si>
  <si>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</si>
  <si>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</si>
  <si>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</si>
  <si>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</si>
  <si>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</si>
  <si>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</si>
  <si>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</si>
  <si>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</si>
  <si>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</si>
  <si>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</si>
  <si>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</si>
  <si>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</si>
  <si>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</si>
  <si>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</si>
  <si>
    <t>КРПi</t>
  </si>
  <si>
    <t>Исходные данные, используемые в расчете размера дотации бюджетам поселений на выравнивание бюджетной обеспеченности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</si>
  <si>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</si>
  <si>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</si>
  <si>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</si>
  <si>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</si>
  <si>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</si>
  <si>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</si>
  <si>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</si>
  <si>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</si>
  <si>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 xml:space="preserve">Примечание: 
1. В графах, начиная с графы 3, в ячейках должны быть указаны формулы расчета полученного значения коэффициентов, на основании значений показателей, указанных на листе "Исходные данные" в соответствии с методикой планирования бюджетных ассигнований муниципального района.
Занесение значения показателя "ручным способом"  - не допускается.
2. В графе "Поправочный коэффициент" значение должно быть расчетное (с указанием формулы расчета, установленной методикой планирования бюджетных ассигнований муниципального района)
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</si>
  <si>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</si>
  <si>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</si>
  <si>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</si>
  <si>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</si>
  <si>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</si>
  <si>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</si>
  <si>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</si>
  <si>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</si>
  <si>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</si>
  <si>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</si>
  <si>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</si>
  <si>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</si>
  <si>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</si>
  <si>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</si>
  <si>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</si>
  <si>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</si>
  <si>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</si>
  <si>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</si>
  <si>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</si>
  <si>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</si>
  <si>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</si>
  <si>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</si>
  <si>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</si>
  <si>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</si>
  <si>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</si>
  <si>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</si>
  <si>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</si>
  <si>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</si>
  <si>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</si>
  <si>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</si>
  <si>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</si>
  <si>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</si>
  <si>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</si>
  <si>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</si>
  <si>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</si>
  <si>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</si>
  <si>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</si>
  <si>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</si>
  <si>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</si>
  <si>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</si>
  <si>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</si>
  <si>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</si>
  <si>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</si>
  <si>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</si>
  <si>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</si>
  <si>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</si>
  <si>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</si>
  <si>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</si>
  <si>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</si>
  <si>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</si>
  <si>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</si>
  <si>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</si>
  <si>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</si>
  <si>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</si>
  <si>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</si>
  <si>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</si>
  <si>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</si>
  <si>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</si>
  <si>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</si>
  <si>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</si>
  <si>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</si>
  <si>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</si>
  <si>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</si>
  <si>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</si>
  <si>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</si>
  <si>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</si>
  <si>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</si>
  <si>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</si>
  <si>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</si>
  <si>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</si>
  <si>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</si>
  <si>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</si>
  <si>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</si>
  <si>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</si>
  <si>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</si>
  <si>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</si>
  <si>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</si>
  <si>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</si>
  <si>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</si>
  <si>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</si>
  <si>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</si>
  <si>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</si>
  <si>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</si>
  <si>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</si>
  <si>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</si>
  <si>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</si>
  <si>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</si>
  <si>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</si>
  <si>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</si>
  <si>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</si>
  <si>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>Атрачинское сельское поселение</t>
  </si>
  <si>
    <t>Бекишевское сельское поселение</t>
  </si>
  <si>
    <t>Белоглазовское сельское поселение</t>
  </si>
  <si>
    <t>Валуевское сельское поселение</t>
  </si>
  <si>
    <t>Кабырдакское сельское поселение</t>
  </si>
  <si>
    <t>Коршуновское сельское поселение</t>
  </si>
  <si>
    <t>Красноусовское сельское поселение</t>
  </si>
  <si>
    <t>Малиновское сельское поселение</t>
  </si>
  <si>
    <t>Нагибинское сельское поселение</t>
  </si>
  <si>
    <t>Никольское сельское поселение</t>
  </si>
  <si>
    <t>Новокошкульское сельское поселение</t>
  </si>
  <si>
    <t>Октябрьское сельское поселение</t>
  </si>
  <si>
    <t>Сажинское сельское поселение</t>
  </si>
  <si>
    <t>Старосолдатское сельское поселение</t>
  </si>
  <si>
    <t>Троицкое сельское поселение</t>
  </si>
  <si>
    <t>Хуторское сельское поселение</t>
  </si>
  <si>
    <t>Тюкалинское городское поселение</t>
  </si>
  <si>
    <t xml:space="preserve">Налоговый потенциал поселений </t>
  </si>
  <si>
    <t>км</t>
  </si>
  <si>
    <t>ед</t>
  </si>
  <si>
    <t>кв км</t>
  </si>
  <si>
    <r>
      <t xml:space="preserve">К1             </t>
    </r>
    <r>
      <rPr>
        <sz val="8"/>
        <rFont val="Times New Roman"/>
        <family val="1"/>
        <charset val="204"/>
      </rPr>
      <t>(коэффициент удаленности центральной усадьбы от районного центра)</t>
    </r>
  </si>
  <si>
    <r>
      <t xml:space="preserve">К2             </t>
    </r>
    <r>
      <rPr>
        <sz val="8"/>
        <rFont val="Times New Roman"/>
        <family val="1"/>
        <charset val="204"/>
      </rPr>
      <t>(коэффициент количества населенных пунктов)</t>
    </r>
  </si>
  <si>
    <r>
      <t xml:space="preserve">К3             </t>
    </r>
    <r>
      <rPr>
        <sz val="8"/>
        <rFont val="Times New Roman"/>
        <family val="1"/>
        <charset val="204"/>
      </rPr>
      <t>(коэффициент площади территории)</t>
    </r>
  </si>
  <si>
    <t>Наименование</t>
  </si>
  <si>
    <t xml:space="preserve">Численность постоянного населения </t>
  </si>
  <si>
    <t>Численность постоянного населения на начало текущего года</t>
  </si>
  <si>
    <r>
      <t xml:space="preserve">К4                            </t>
    </r>
    <r>
      <rPr>
        <sz val="8"/>
        <rFont val="Times New Roman"/>
        <family val="1"/>
        <charset val="204"/>
      </rPr>
      <t>(коэффициент дифференциации поселений по численности постоянного населения)</t>
    </r>
  </si>
  <si>
    <t>Объем дотации, распределенный на 1 этапе (исходя из численности постоянного населения)</t>
  </si>
  <si>
    <t>Выравнивание исходя из численности постоянного населения</t>
  </si>
  <si>
    <t>2025 год</t>
  </si>
  <si>
    <t>Расчет размера дотации бюджетам поселений, входящих в состав Тюкалинского муниципального района Омской области, на выравнивание бюджетной обеспеченности на 2025 год</t>
  </si>
  <si>
    <r>
      <rPr>
        <b/>
        <i/>
        <sz val="9"/>
        <rFont val="Times New Roman"/>
        <family val="1"/>
        <charset val="204"/>
      </rPr>
      <t>К1i</t>
    </r>
    <r>
      <rPr>
        <i/>
        <sz val="9"/>
        <rFont val="Times New Roman"/>
        <family val="1"/>
        <charset val="204"/>
      </rPr>
      <t>=2+(P1i/P1max)</t>
    </r>
  </si>
  <si>
    <r>
      <rPr>
        <b/>
        <i/>
        <sz val="9"/>
        <rFont val="Times New Roman"/>
        <family val="1"/>
        <charset val="204"/>
      </rPr>
      <t>К2i</t>
    </r>
    <r>
      <rPr>
        <i/>
        <sz val="9"/>
        <rFont val="Times New Roman"/>
        <family val="1"/>
        <charset val="204"/>
      </rPr>
      <t>=2+(P2i/P2max)</t>
    </r>
  </si>
  <si>
    <r>
      <rPr>
        <b/>
        <i/>
        <sz val="9"/>
        <rFont val="Times New Roman"/>
        <family val="1"/>
        <charset val="204"/>
      </rPr>
      <t>К3i</t>
    </r>
    <r>
      <rPr>
        <i/>
        <sz val="9"/>
        <rFont val="Times New Roman"/>
        <family val="1"/>
        <charset val="204"/>
      </rPr>
      <t>=2+(P3i/P3max)</t>
    </r>
  </si>
  <si>
    <t>К4i=2+(P4i/P4min)</t>
  </si>
  <si>
    <r>
      <rPr>
        <b/>
        <i/>
        <sz val="11"/>
        <rFont val="Times New Roman"/>
        <family val="1"/>
        <charset val="204"/>
      </rPr>
      <t>КРП</t>
    </r>
    <r>
      <rPr>
        <i/>
        <sz val="11"/>
        <rFont val="Times New Roman"/>
        <family val="1"/>
        <charset val="204"/>
      </rPr>
      <t>=(K1+ K2+K3+K4)/4</t>
    </r>
  </si>
  <si>
    <t>2026 год</t>
  </si>
  <si>
    <t>Расчет размера дотации бюджетам поселений, входящих в состав Тюкалинского муниципального района Омской области, на выравнивание бюджетной обеспеченности на 2026 год</t>
  </si>
  <si>
    <t>на 01.01.2024 год</t>
  </si>
  <si>
    <t>2027 год</t>
  </si>
  <si>
    <t>Удаленность центральной усадьбы от районного центра на 01.01.2024 г.</t>
  </si>
  <si>
    <t>Количество населенных пунктов на 01.01.2024 г.</t>
  </si>
  <si>
    <t>Площадь территории на 01.01.2024 г.</t>
  </si>
  <si>
    <t>Группы поселений по численности постоянного населения на 01.01.2024 г.</t>
  </si>
  <si>
    <t>Расчет размера дотации бюджетам поселений, входящих в состав Тюкалинского муниципального района Омской области, на выравнивание бюджетной обеспеченности на 2027 год</t>
  </si>
  <si>
    <t>Расчет размера дотации на выравнивание уровня бюджетной обеспеченности городским и сельским поселениям  Тюкалинского муниципального района Омской области на 2025 год и на плановый период 2026 и 2027 годов</t>
  </si>
  <si>
    <t>Объем дотаций после округления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</si>
</sst>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</numFmts>
  <fonts count="47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Arial Cyr"/>
      <family val="2"/>
      <charset val="204"/>
    </font>
    <font>
      <i/>
      <sz val="10"/>
      <name val="Times New Roman"/>
      <family val="1"/>
      <charset val="204"/>
    </font>
    <font>
      <i/>
      <sz val="10"/>
      <name val="Arial Cyr"/>
      <family val="2"/>
      <charset val="204"/>
    </font>
    <font>
      <b/>
      <i/>
      <sz val="9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</fonts>
  <fills count="5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23"/>
      </patternFill>
    </fill>
  </fills>
  <borders count="8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</borders>
  <cellStyleXfs count="46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0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0" fillId="0" borderId="10" applyNumberFormat="0">
      <alignment horizontal="right" vertical="top"/>
    </xf>
    <xf numFmtId="0" fontId="30" fillId="0" borderId="0"/>
    <xf numFmtId="0" fontId="44" fillId="0" borderId="0"/>
    <xf numFmtId="0" fontId="45" fillId="0" borderId="84" applyNumberFormat="0">
      <alignment horizontal="right" vertical="top"/>
    </xf>
  </cellStyleXfs>
  <cellXfs count="306">
    <xf numFmtId="0" fontId="0" fillId="0" borderId="0" xfId="0"/>
    <xf numFmtId="0" fontId="18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164" fontId="19" fillId="0" borderId="0" xfId="0" applyNumberFormat="1" applyFont="1" applyAlignment="1">
      <alignment horizontal="center"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18" fillId="0" borderId="0" xfId="0" applyFont="1" applyAlignment="1">
      <alignment vertical="center" wrapText="1"/>
    </xf>
    <xf numFmtId="0" fontId="22" fillId="0" borderId="0" xfId="0" applyFont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3" fillId="0" borderId="0" xfId="0" applyFont="1" applyAlignment="1">
      <alignment vertical="top" wrapText="1"/>
    </xf>
    <xf numFmtId="0" fontId="18" fillId="0" borderId="0" xfId="0" applyFont="1" applyAlignment="1">
      <alignment horizontal="center" vertical="center" wrapText="1"/>
    </xf>
    <xf numFmtId="3" fontId="25" fillId="0" borderId="0" xfId="0" applyNumberFormat="1" applyFont="1" applyAlignment="1">
      <alignment horizontal="center" vertical="center" wrapText="1"/>
    </xf>
    <xf numFmtId="166" fontId="18" fillId="0" borderId="0" xfId="0" applyNumberFormat="1" applyFont="1" applyAlignment="1">
      <alignment vertical="top" wrapText="1"/>
    </xf>
    <xf numFmtId="0" fontId="21" fillId="0" borderId="29" xfId="0" applyFont="1" applyBorder="1" applyAlignment="1">
      <alignment vertical="center"/>
    </xf>
    <xf numFmtId="0" fontId="21" fillId="0" borderId="18" xfId="0" applyFont="1" applyBorder="1" applyAlignment="1">
      <alignment vertical="center"/>
    </xf>
    <xf numFmtId="3" fontId="21" fillId="0" borderId="18" xfId="0" applyNumberFormat="1" applyFont="1" applyBorder="1" applyAlignment="1">
      <alignment horizontal="center" vertical="center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1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Alignment="1">
      <alignment vertical="center" wrapText="1"/>
    </xf>
    <xf numFmtId="0" fontId="22" fillId="30" borderId="29" xfId="0" applyFont="1" applyFill="1" applyBorder="1" applyAlignment="1">
      <alignment horizontal="center" vertical="center"/>
    </xf>
    <xf numFmtId="0" fontId="22" fillId="30" borderId="18" xfId="0" applyFont="1" applyFill="1" applyBorder="1" applyAlignment="1">
      <alignment horizontal="center" vertical="center"/>
    </xf>
    <xf numFmtId="0" fontId="22" fillId="30" borderId="19" xfId="0" applyFont="1" applyFill="1" applyBorder="1" applyAlignment="1">
      <alignment horizontal="center" vertical="center"/>
    </xf>
    <xf numFmtId="0" fontId="18" fillId="0" borderId="35" xfId="0" applyFont="1" applyBorder="1" applyAlignment="1">
      <alignment horizontal="center" vertical="center"/>
    </xf>
    <xf numFmtId="0" fontId="18" fillId="0" borderId="38" xfId="0" applyFont="1" applyBorder="1" applyAlignment="1">
      <alignment horizontal="center" vertical="center"/>
    </xf>
    <xf numFmtId="167" fontId="21" fillId="28" borderId="18" xfId="0" applyNumberFormat="1" applyFont="1" applyFill="1" applyBorder="1" applyAlignment="1">
      <alignment horizontal="right" vertical="center"/>
    </xf>
    <xf numFmtId="166" fontId="21" fillId="28" borderId="18" xfId="0" applyNumberFormat="1" applyFont="1" applyFill="1" applyBorder="1" applyAlignment="1">
      <alignment horizontal="center" vertical="center" wrapText="1"/>
    </xf>
    <xf numFmtId="172" fontId="29" fillId="28" borderId="18" xfId="0" applyNumberFormat="1" applyFont="1" applyFill="1" applyBorder="1" applyAlignment="1">
      <alignment horizontal="center" vertical="center"/>
    </xf>
    <xf numFmtId="173" fontId="21" fillId="28" borderId="18" xfId="0" applyNumberFormat="1" applyFont="1" applyFill="1" applyBorder="1" applyAlignment="1">
      <alignment horizontal="center" vertical="center"/>
    </xf>
    <xf numFmtId="0" fontId="18" fillId="27" borderId="17" xfId="0" applyFont="1" applyFill="1" applyBorder="1" applyAlignment="1">
      <alignment horizontal="center" vertical="center"/>
    </xf>
    <xf numFmtId="168" fontId="18" fillId="26" borderId="17" xfId="0" applyNumberFormat="1" applyFont="1" applyFill="1" applyBorder="1" applyAlignment="1">
      <alignment vertical="center"/>
    </xf>
    <xf numFmtId="170" fontId="18" fillId="26" borderId="17" xfId="0" applyNumberFormat="1" applyFont="1" applyFill="1" applyBorder="1" applyAlignment="1">
      <alignment vertical="center"/>
    </xf>
    <xf numFmtId="169" fontId="18" fillId="26" borderId="17" xfId="0" applyNumberFormat="1" applyFont="1" applyFill="1" applyBorder="1" applyAlignment="1">
      <alignment vertical="center"/>
    </xf>
    <xf numFmtId="171" fontId="18" fillId="26" borderId="17" xfId="0" applyNumberFormat="1" applyFont="1" applyFill="1" applyBorder="1" applyAlignment="1">
      <alignment horizontal="right" vertical="center"/>
    </xf>
    <xf numFmtId="167" fontId="18" fillId="26" borderId="17" xfId="0" applyNumberFormat="1" applyFont="1" applyFill="1" applyBorder="1" applyAlignment="1">
      <alignment vertical="center"/>
    </xf>
    <xf numFmtId="0" fontId="31" fillId="30" borderId="45" xfId="0" applyFont="1" applyFill="1" applyBorder="1" applyAlignment="1">
      <alignment horizontal="center" vertical="center" wrapText="1"/>
    </xf>
    <xf numFmtId="0" fontId="22" fillId="30" borderId="43" xfId="0" applyFont="1" applyFill="1" applyBorder="1" applyAlignment="1">
      <alignment horizontal="center" vertical="center"/>
    </xf>
    <xf numFmtId="0" fontId="22" fillId="30" borderId="26" xfId="0" applyFont="1" applyFill="1" applyBorder="1" applyAlignment="1">
      <alignment horizontal="center" vertical="center"/>
    </xf>
    <xf numFmtId="0" fontId="22" fillId="35" borderId="55" xfId="0" applyFont="1" applyFill="1" applyBorder="1" applyAlignment="1">
      <alignment horizontal="center" vertical="center"/>
    </xf>
    <xf numFmtId="0" fontId="22" fillId="30" borderId="56" xfId="0" applyFont="1" applyFill="1" applyBorder="1" applyAlignment="1">
      <alignment horizontal="center" vertical="center"/>
    </xf>
    <xf numFmtId="0" fontId="22" fillId="30" borderId="57" xfId="0" applyFont="1" applyFill="1" applyBorder="1" applyAlignment="1">
      <alignment horizontal="center" vertical="center"/>
    </xf>
    <xf numFmtId="0" fontId="31" fillId="26" borderId="29" xfId="0" applyFont="1" applyFill="1" applyBorder="1" applyAlignment="1">
      <alignment horizontal="center" vertical="center" wrapText="1"/>
    </xf>
    <xf numFmtId="0" fontId="31" fillId="26" borderId="18" xfId="0" applyFont="1" applyFill="1" applyBorder="1" applyAlignment="1">
      <alignment horizontal="center" vertical="center" wrapText="1"/>
    </xf>
    <xf numFmtId="0" fontId="31" fillId="34" borderId="34" xfId="0" applyFont="1" applyFill="1" applyBorder="1" applyAlignment="1">
      <alignment horizontal="center" vertical="center" wrapText="1"/>
    </xf>
    <xf numFmtId="0" fontId="31" fillId="26" borderId="19" xfId="0" applyFont="1" applyFill="1" applyBorder="1" applyAlignment="1">
      <alignment horizontal="center" vertical="center" wrapText="1"/>
    </xf>
    <xf numFmtId="0" fontId="18" fillId="26" borderId="26" xfId="0" applyFont="1" applyFill="1" applyBorder="1" applyAlignment="1">
      <alignment horizontal="center" vertical="center" wrapText="1"/>
    </xf>
    <xf numFmtId="0" fontId="18" fillId="26" borderId="56" xfId="0" applyFont="1" applyFill="1" applyBorder="1" applyAlignment="1">
      <alignment horizontal="center" vertical="center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18" fillId="26" borderId="33" xfId="0" applyFont="1" applyFill="1" applyBorder="1" applyAlignment="1">
      <alignment horizontal="center" vertical="center" textRotation="90" wrapText="1"/>
    </xf>
    <xf numFmtId="0" fontId="21" fillId="37" borderId="20" xfId="0" applyFont="1" applyFill="1" applyBorder="1" applyAlignment="1">
      <alignment horizontal="center" vertical="center" wrapText="1"/>
    </xf>
    <xf numFmtId="0" fontId="18" fillId="34" borderId="55" xfId="0" applyFont="1" applyFill="1" applyBorder="1" applyAlignment="1">
      <alignment horizontal="center" vertical="center" wrapText="1"/>
    </xf>
    <xf numFmtId="0" fontId="18" fillId="26" borderId="43" xfId="0" applyFont="1" applyFill="1" applyBorder="1" applyAlignment="1">
      <alignment horizontal="center" vertical="center" wrapText="1"/>
    </xf>
    <xf numFmtId="0" fontId="18" fillId="26" borderId="57" xfId="0" applyFont="1" applyFill="1" applyBorder="1" applyAlignment="1">
      <alignment horizontal="center" vertical="center" wrapText="1"/>
    </xf>
    <xf numFmtId="171" fontId="18" fillId="26" borderId="38" xfId="0" applyNumberFormat="1" applyFont="1" applyFill="1" applyBorder="1" applyAlignment="1">
      <alignment horizontal="center" vertical="center"/>
    </xf>
    <xf numFmtId="4" fontId="21" fillId="28" borderId="29" xfId="0" applyNumberFormat="1" applyFont="1" applyFill="1" applyBorder="1" applyAlignment="1">
      <alignment horizontal="center" vertical="center"/>
    </xf>
    <xf numFmtId="0" fontId="18" fillId="27" borderId="42" xfId="0" applyFont="1" applyFill="1" applyBorder="1" applyAlignment="1">
      <alignment horizontal="center" vertical="center"/>
    </xf>
    <xf numFmtId="0" fontId="18" fillId="27" borderId="38" xfId="0" applyFont="1" applyFill="1" applyBorder="1" applyAlignment="1">
      <alignment horizontal="center" vertical="center"/>
    </xf>
    <xf numFmtId="167" fontId="18" fillId="34" borderId="51" xfId="0" applyNumberFormat="1" applyFont="1" applyFill="1" applyBorder="1" applyAlignment="1">
      <alignment vertical="center"/>
    </xf>
    <xf numFmtId="167" fontId="21" fillId="36" borderId="34" xfId="0" applyNumberFormat="1" applyFont="1" applyFill="1" applyBorder="1" applyAlignment="1">
      <alignment vertical="center"/>
    </xf>
    <xf numFmtId="167" fontId="18" fillId="26" borderId="44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167" fontId="21" fillId="28" borderId="19" xfId="0" applyNumberFormat="1" applyFont="1" applyFill="1" applyBorder="1" applyAlignment="1">
      <alignment horizontal="right" vertical="center"/>
    </xf>
    <xf numFmtId="0" fontId="18" fillId="26" borderId="48" xfId="0" applyFont="1" applyFill="1" applyBorder="1" applyAlignment="1">
      <alignment horizontal="center" vertical="center" textRotation="90" wrapText="1"/>
    </xf>
    <xf numFmtId="0" fontId="18" fillId="39" borderId="57" xfId="0" applyFont="1" applyFill="1" applyBorder="1" applyAlignment="1">
      <alignment horizontal="center" vertical="center" wrapText="1"/>
    </xf>
    <xf numFmtId="0" fontId="31" fillId="39" borderId="19" xfId="0" applyFont="1" applyFill="1" applyBorder="1" applyAlignment="1">
      <alignment horizontal="center" vertical="center" wrapText="1"/>
    </xf>
    <xf numFmtId="0" fontId="22" fillId="40" borderId="57" xfId="0" applyFont="1" applyFill="1" applyBorder="1" applyAlignment="1">
      <alignment horizontal="center" vertical="center"/>
    </xf>
    <xf numFmtId="167" fontId="21" fillId="28" borderId="29" xfId="0" applyNumberFormat="1" applyFont="1" applyFill="1" applyBorder="1" applyAlignment="1">
      <alignment horizontal="right" vertical="center"/>
    </xf>
    <xf numFmtId="0" fontId="36" fillId="42" borderId="55" xfId="0" applyFont="1" applyFill="1" applyBorder="1" applyAlignment="1">
      <alignment horizontal="center" vertical="center" wrapText="1"/>
    </xf>
    <xf numFmtId="164" fontId="36" fillId="43" borderId="32" xfId="0" applyNumberFormat="1" applyFont="1" applyFill="1" applyBorder="1" applyAlignment="1">
      <alignment horizontal="center" vertical="center" wrapText="1"/>
    </xf>
    <xf numFmtId="0" fontId="18" fillId="0" borderId="23" xfId="0" applyFont="1" applyBorder="1" applyAlignment="1">
      <alignment horizontal="center" vertical="center" wrapText="1"/>
    </xf>
    <xf numFmtId="0" fontId="18" fillId="42" borderId="51" xfId="0" applyFont="1" applyFill="1" applyBorder="1" applyAlignment="1">
      <alignment vertical="center" wrapText="1"/>
    </xf>
    <xf numFmtId="0" fontId="18" fillId="0" borderId="52" xfId="0" applyFont="1" applyBorder="1" applyAlignment="1">
      <alignment horizontal="center" vertical="center" wrapText="1"/>
    </xf>
    <xf numFmtId="0" fontId="18" fillId="42" borderId="51" xfId="0" applyFont="1" applyFill="1" applyBorder="1" applyAlignment="1">
      <alignment horizontal="center" vertical="center" wrapText="1"/>
    </xf>
    <xf numFmtId="167" fontId="21" fillId="47" borderId="11" xfId="0" applyNumberFormat="1" applyFont="1" applyFill="1" applyBorder="1" applyAlignment="1">
      <alignment vertical="center"/>
    </xf>
    <xf numFmtId="0" fontId="31" fillId="26" borderId="30" xfId="0" applyFont="1" applyFill="1" applyBorder="1" applyAlignment="1">
      <alignment horizontal="center" vertical="center" wrapText="1"/>
    </xf>
    <xf numFmtId="0" fontId="31" fillId="26" borderId="34" xfId="0" applyFont="1" applyFill="1" applyBorder="1" applyAlignment="1">
      <alignment horizontal="center" vertical="center" wrapText="1"/>
    </xf>
    <xf numFmtId="0" fontId="22" fillId="30" borderId="55" xfId="0" applyFont="1" applyFill="1" applyBorder="1" applyAlignment="1">
      <alignment horizontal="center" vertical="center"/>
    </xf>
    <xf numFmtId="0" fontId="28" fillId="28" borderId="34" xfId="0" applyFont="1" applyFill="1" applyBorder="1" applyAlignment="1">
      <alignment wrapText="1"/>
    </xf>
    <xf numFmtId="0" fontId="18" fillId="26" borderId="27" xfId="0" applyFont="1" applyFill="1" applyBorder="1" applyAlignment="1">
      <alignment horizontal="center" vertical="center" wrapText="1"/>
    </xf>
    <xf numFmtId="0" fontId="31" fillId="26" borderId="65" xfId="0" applyFont="1" applyFill="1" applyBorder="1" applyAlignment="1">
      <alignment horizontal="center" vertical="center" wrapText="1"/>
    </xf>
    <xf numFmtId="0" fontId="22" fillId="30" borderId="27" xfId="0" applyFont="1" applyFill="1" applyBorder="1" applyAlignment="1">
      <alignment horizontal="center" vertical="center"/>
    </xf>
    <xf numFmtId="168" fontId="18" fillId="26" borderId="22" xfId="0" applyNumberFormat="1" applyFont="1" applyFill="1" applyBorder="1" applyAlignment="1">
      <alignment vertical="center"/>
    </xf>
    <xf numFmtId="168" fontId="18" fillId="26" borderId="13" xfId="0" applyNumberFormat="1" applyFont="1" applyFill="1" applyBorder="1" applyAlignment="1">
      <alignment vertical="center"/>
    </xf>
    <xf numFmtId="168" fontId="21" fillId="28" borderId="30" xfId="0" applyNumberFormat="1" applyFont="1" applyFill="1" applyBorder="1" applyAlignment="1">
      <alignment horizontal="right" vertical="center"/>
    </xf>
    <xf numFmtId="165" fontId="21" fillId="28" borderId="29" xfId="0" applyNumberFormat="1" applyFont="1" applyFill="1" applyBorder="1" applyAlignment="1">
      <alignment horizontal="right" vertical="center"/>
    </xf>
    <xf numFmtId="0" fontId="18" fillId="26" borderId="54" xfId="0" applyFont="1" applyFill="1" applyBorder="1" applyAlignment="1">
      <alignment horizontal="center" vertical="center" wrapText="1"/>
    </xf>
    <xf numFmtId="0" fontId="31" fillId="26" borderId="49" xfId="0" applyFont="1" applyFill="1" applyBorder="1" applyAlignment="1">
      <alignment horizontal="center" vertical="center" wrapText="1"/>
    </xf>
    <xf numFmtId="0" fontId="22" fillId="30" borderId="54" xfId="0" applyFont="1" applyFill="1" applyBorder="1" applyAlignment="1">
      <alignment horizontal="center" vertical="center"/>
    </xf>
    <xf numFmtId="0" fontId="18" fillId="27" borderId="25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55" xfId="0" applyFont="1" applyFill="1" applyBorder="1" applyAlignment="1">
      <alignment horizontal="center" vertical="center" wrapText="1"/>
    </xf>
    <xf numFmtId="0" fontId="31" fillId="39" borderId="34" xfId="0" applyFont="1" applyFill="1" applyBorder="1" applyAlignment="1">
      <alignment horizontal="center" vertical="center" wrapText="1"/>
    </xf>
    <xf numFmtId="0" fontId="22" fillId="40" borderId="55" xfId="0" applyFont="1" applyFill="1" applyBorder="1" applyAlignment="1">
      <alignment horizontal="center" vertical="center"/>
    </xf>
    <xf numFmtId="170" fontId="18" fillId="39" borderId="51" xfId="0" applyNumberFormat="1" applyFont="1" applyFill="1" applyBorder="1" applyAlignment="1">
      <alignment vertical="center"/>
    </xf>
    <xf numFmtId="166" fontId="21" fillId="41" borderId="34" xfId="0" applyNumberFormat="1" applyFont="1" applyFill="1" applyBorder="1" applyAlignment="1">
      <alignment horizontal="center" vertical="center" wrapText="1"/>
    </xf>
    <xf numFmtId="165" fontId="29" fillId="48" borderId="29" xfId="0" applyNumberFormat="1" applyFont="1" applyFill="1" applyBorder="1" applyAlignment="1">
      <alignment horizontal="right" vertical="center"/>
    </xf>
    <xf numFmtId="0" fontId="35" fillId="0" borderId="0" xfId="0" applyFont="1" applyAlignment="1">
      <alignment vertical="center"/>
    </xf>
    <xf numFmtId="167" fontId="29" fillId="0" borderId="67" xfId="0" applyNumberFormat="1" applyFont="1" applyBorder="1" applyAlignment="1">
      <alignment horizontal="right" vertical="center"/>
    </xf>
    <xf numFmtId="0" fontId="21" fillId="25" borderId="61" xfId="0" applyFont="1" applyFill="1" applyBorder="1" applyAlignment="1">
      <alignment horizontal="left" vertical="center" wrapText="1"/>
    </xf>
    <xf numFmtId="167" fontId="18" fillId="26" borderId="25" xfId="0" applyNumberFormat="1" applyFont="1" applyFill="1" applyBorder="1" applyAlignment="1">
      <alignment vertical="center"/>
    </xf>
    <xf numFmtId="167" fontId="18" fillId="26" borderId="14" xfId="0" applyNumberFormat="1" applyFont="1" applyFill="1" applyBorder="1" applyAlignment="1">
      <alignment vertical="center"/>
    </xf>
    <xf numFmtId="167" fontId="18" fillId="0" borderId="0" xfId="0" applyNumberFormat="1" applyFont="1" applyAlignment="1">
      <alignment vertical="center"/>
    </xf>
    <xf numFmtId="0" fontId="18" fillId="27" borderId="39" xfId="0" applyFont="1" applyFill="1" applyBorder="1" applyAlignment="1">
      <alignment horizontal="center" vertical="center"/>
    </xf>
    <xf numFmtId="168" fontId="18" fillId="26" borderId="70" xfId="0" applyNumberFormat="1" applyFont="1" applyFill="1" applyBorder="1" applyAlignment="1">
      <alignment vertical="center"/>
    </xf>
    <xf numFmtId="168" fontId="18" fillId="26" borderId="15" xfId="0" applyNumberFormat="1" applyFont="1" applyFill="1" applyBorder="1" applyAlignment="1">
      <alignment vertical="center"/>
    </xf>
    <xf numFmtId="170" fontId="18" fillId="26" borderId="15" xfId="0" applyNumberFormat="1" applyFont="1" applyFill="1" applyBorder="1" applyAlignment="1">
      <alignment vertical="center"/>
    </xf>
    <xf numFmtId="0" fontId="18" fillId="27" borderId="69" xfId="0" applyFont="1" applyFill="1" applyBorder="1" applyAlignment="1">
      <alignment horizontal="center" vertical="center"/>
    </xf>
    <xf numFmtId="170" fontId="18" fillId="39" borderId="68" xfId="0" applyNumberFormat="1" applyFont="1" applyFill="1" applyBorder="1" applyAlignment="1">
      <alignment vertical="center"/>
    </xf>
    <xf numFmtId="167" fontId="18" fillId="34" borderId="68" xfId="0" applyNumberFormat="1" applyFont="1" applyFill="1" applyBorder="1" applyAlignment="1">
      <alignment vertical="center"/>
    </xf>
    <xf numFmtId="171" fontId="18" fillId="26" borderId="39" xfId="0" applyNumberFormat="1" applyFont="1" applyFill="1" applyBorder="1" applyAlignment="1">
      <alignment horizontal="center" vertical="center"/>
    </xf>
    <xf numFmtId="0" fontId="18" fillId="27" borderId="15" xfId="0" applyFont="1" applyFill="1" applyBorder="1" applyAlignment="1">
      <alignment horizontal="center" vertical="center"/>
    </xf>
    <xf numFmtId="169" fontId="18" fillId="26" borderId="15" xfId="0" applyNumberFormat="1" applyFont="1" applyFill="1" applyBorder="1" applyAlignment="1">
      <alignment vertical="center"/>
    </xf>
    <xf numFmtId="167" fontId="18" fillId="26" borderId="16" xfId="0" applyNumberFormat="1" applyFont="1" applyFill="1" applyBorder="1" applyAlignment="1">
      <alignment vertical="center"/>
    </xf>
    <xf numFmtId="171" fontId="18" fillId="26" borderId="15" xfId="0" applyNumberFormat="1" applyFont="1" applyFill="1" applyBorder="1" applyAlignment="1">
      <alignment horizontal="right" vertical="center"/>
    </xf>
    <xf numFmtId="167" fontId="18" fillId="26" borderId="69" xfId="0" applyNumberFormat="1" applyFont="1" applyFill="1" applyBorder="1" applyAlignment="1">
      <alignment vertical="center"/>
    </xf>
    <xf numFmtId="167" fontId="21" fillId="28" borderId="26" xfId="0" applyNumberFormat="1" applyFont="1" applyFill="1" applyBorder="1" applyAlignment="1">
      <alignment horizontal="right" vertical="center"/>
    </xf>
    <xf numFmtId="0" fontId="18" fillId="27" borderId="23" xfId="0" applyFont="1" applyFill="1" applyBorder="1" applyAlignment="1">
      <alignment horizontal="center" vertical="center"/>
    </xf>
    <xf numFmtId="0" fontId="18" fillId="27" borderId="51" xfId="0" applyFont="1" applyFill="1" applyBorder="1" applyAlignment="1">
      <alignment horizontal="center" vertical="center"/>
    </xf>
    <xf numFmtId="0" fontId="18" fillId="27" borderId="68" xfId="0" applyFont="1" applyFill="1" applyBorder="1" applyAlignment="1">
      <alignment horizontal="center" vertical="center"/>
    </xf>
    <xf numFmtId="170" fontId="18" fillId="39" borderId="23" xfId="0" applyNumberFormat="1" applyFont="1" applyFill="1" applyBorder="1" applyAlignment="1">
      <alignment vertical="center"/>
    </xf>
    <xf numFmtId="167" fontId="18" fillId="34" borderId="23" xfId="0" applyNumberFormat="1" applyFont="1" applyFill="1" applyBorder="1" applyAlignment="1">
      <alignment vertical="center"/>
    </xf>
    <xf numFmtId="0" fontId="18" fillId="27" borderId="22" xfId="0" applyFont="1" applyFill="1" applyBorder="1" applyAlignment="1">
      <alignment horizontal="center" vertical="center"/>
    </xf>
    <xf numFmtId="0" fontId="18" fillId="27" borderId="13" xfId="0" applyFont="1" applyFill="1" applyBorder="1" applyAlignment="1">
      <alignment horizontal="center" vertical="center"/>
    </xf>
    <xf numFmtId="0" fontId="18" fillId="27" borderId="70" xfId="0" applyFont="1" applyFill="1" applyBorder="1" applyAlignment="1">
      <alignment horizontal="center" vertical="center"/>
    </xf>
    <xf numFmtId="171" fontId="18" fillId="26" borderId="35" xfId="0" applyNumberFormat="1" applyFont="1" applyFill="1" applyBorder="1" applyAlignment="1">
      <alignment horizontal="center" vertical="center"/>
    </xf>
    <xf numFmtId="0" fontId="18" fillId="27" borderId="36" xfId="0" applyFont="1" applyFill="1" applyBorder="1" applyAlignment="1">
      <alignment horizontal="center" vertical="center"/>
    </xf>
    <xf numFmtId="169" fontId="18" fillId="26" borderId="36" xfId="0" applyNumberFormat="1" applyFont="1" applyFill="1" applyBorder="1" applyAlignment="1">
      <alignment vertical="center"/>
    </xf>
    <xf numFmtId="167" fontId="18" fillId="26" borderId="37" xfId="0" applyNumberFormat="1" applyFont="1" applyFill="1" applyBorder="1" applyAlignment="1">
      <alignment vertical="center"/>
    </xf>
    <xf numFmtId="167" fontId="21" fillId="47" borderId="36" xfId="0" applyNumberFormat="1" applyFont="1" applyFill="1" applyBorder="1" applyAlignment="1">
      <alignment vertical="center"/>
    </xf>
    <xf numFmtId="167" fontId="18" fillId="34" borderId="38" xfId="0" applyNumberFormat="1" applyFont="1" applyFill="1" applyBorder="1" applyAlignment="1">
      <alignment vertical="center"/>
    </xf>
    <xf numFmtId="0" fontId="21" fillId="45" borderId="56" xfId="0" applyFont="1" applyFill="1" applyBorder="1" applyAlignment="1">
      <alignment horizontal="center" vertical="center" wrapText="1"/>
    </xf>
    <xf numFmtId="0" fontId="33" fillId="45" borderId="30" xfId="0" applyFont="1" applyFill="1" applyBorder="1" applyAlignment="1">
      <alignment horizontal="center" vertical="center" wrapText="1"/>
    </xf>
    <xf numFmtId="0" fontId="18" fillId="34" borderId="34" xfId="0" applyFont="1" applyFill="1" applyBorder="1" applyAlignment="1">
      <alignment horizontal="center" vertical="center" wrapText="1"/>
    </xf>
    <xf numFmtId="0" fontId="32" fillId="46" borderId="56" xfId="0" applyFont="1" applyFill="1" applyBorder="1" applyAlignment="1">
      <alignment horizontal="center" vertical="center"/>
    </xf>
    <xf numFmtId="0" fontId="22" fillId="35" borderId="34" xfId="0" applyFont="1" applyFill="1" applyBorder="1" applyAlignment="1">
      <alignment horizontal="center" vertical="center"/>
    </xf>
    <xf numFmtId="0" fontId="18" fillId="27" borderId="35" xfId="0" applyFont="1" applyFill="1" applyBorder="1" applyAlignment="1">
      <alignment horizontal="center" vertical="center"/>
    </xf>
    <xf numFmtId="167" fontId="21" fillId="49" borderId="49" xfId="0" applyNumberFormat="1" applyFont="1" applyFill="1" applyBorder="1" applyAlignment="1">
      <alignment horizontal="center" vertical="center"/>
    </xf>
    <xf numFmtId="0" fontId="22" fillId="30" borderId="24" xfId="0" applyFont="1" applyFill="1" applyBorder="1" applyAlignment="1">
      <alignment horizontal="center" vertical="center"/>
    </xf>
    <xf numFmtId="167" fontId="18" fillId="26" borderId="46" xfId="0" applyNumberFormat="1" applyFont="1" applyFill="1" applyBorder="1" applyAlignment="1">
      <alignment vertical="center"/>
    </xf>
    <xf numFmtId="171" fontId="18" fillId="26" borderId="46" xfId="0" applyNumberFormat="1" applyFont="1" applyFill="1" applyBorder="1" applyAlignment="1">
      <alignment horizontal="right" vertical="center"/>
    </xf>
    <xf numFmtId="171" fontId="18" fillId="26" borderId="24" xfId="0" applyNumberFormat="1" applyFont="1" applyFill="1" applyBorder="1" applyAlignment="1">
      <alignment horizontal="right" vertical="center"/>
    </xf>
    <xf numFmtId="167" fontId="18" fillId="34" borderId="40" xfId="0" applyNumberFormat="1" applyFont="1" applyFill="1" applyBorder="1" applyAlignment="1">
      <alignment vertical="center"/>
    </xf>
    <xf numFmtId="167" fontId="21" fillId="36" borderId="56" xfId="0" applyNumberFormat="1" applyFont="1" applyFill="1" applyBorder="1" applyAlignment="1">
      <alignment horizontal="right" vertical="center"/>
    </xf>
    <xf numFmtId="167" fontId="18" fillId="26" borderId="47" xfId="0" applyNumberFormat="1" applyFont="1" applyFill="1" applyBorder="1" applyAlignment="1">
      <alignment vertical="center"/>
    </xf>
    <xf numFmtId="167" fontId="21" fillId="47" borderId="26" xfId="0" applyNumberFormat="1" applyFont="1" applyFill="1" applyBorder="1" applyAlignment="1">
      <alignment vertical="center"/>
    </xf>
    <xf numFmtId="0" fontId="18" fillId="0" borderId="53" xfId="0" applyFont="1" applyBorder="1" applyAlignment="1">
      <alignment wrapText="1"/>
    </xf>
    <xf numFmtId="0" fontId="18" fillId="0" borderId="51" xfId="0" applyFont="1" applyBorder="1" applyAlignment="1">
      <alignment wrapText="1"/>
    </xf>
    <xf numFmtId="0" fontId="18" fillId="0" borderId="68" xfId="0" applyFont="1" applyBorder="1" applyAlignment="1">
      <alignment wrapText="1"/>
    </xf>
    <xf numFmtId="168" fontId="18" fillId="0" borderId="72" xfId="0" applyNumberFormat="1" applyFont="1" applyBorder="1" applyAlignment="1">
      <alignment vertical="center"/>
    </xf>
    <xf numFmtId="168" fontId="18" fillId="0" borderId="74" xfId="0" applyNumberFormat="1" applyFont="1" applyBorder="1" applyAlignment="1">
      <alignment vertical="center"/>
    </xf>
    <xf numFmtId="168" fontId="18" fillId="0" borderId="75" xfId="0" applyNumberFormat="1" applyFont="1" applyBorder="1" applyAlignment="1">
      <alignment vertical="center"/>
    </xf>
    <xf numFmtId="168" fontId="18" fillId="0" borderId="71" xfId="0" applyNumberFormat="1" applyFont="1" applyBorder="1" applyAlignment="1">
      <alignment vertical="center"/>
    </xf>
    <xf numFmtId="168" fontId="18" fillId="0" borderId="73" xfId="0" applyNumberFormat="1" applyFont="1" applyBorder="1" applyAlignment="1">
      <alignment vertical="center"/>
    </xf>
    <xf numFmtId="0" fontId="24" fillId="42" borderId="34" xfId="0" applyFont="1" applyFill="1" applyBorder="1" applyAlignment="1">
      <alignment horizontal="center" vertical="center" wrapText="1"/>
    </xf>
    <xf numFmtId="164" fontId="18" fillId="0" borderId="23" xfId="0" applyNumberFormat="1" applyFont="1" applyBorder="1" applyAlignment="1">
      <alignment horizontal="center" vertical="center"/>
    </xf>
    <xf numFmtId="164" fontId="18" fillId="0" borderId="53" xfId="0" applyNumberFormat="1" applyFont="1" applyBorder="1" applyAlignment="1">
      <alignment horizontal="center" vertical="center"/>
    </xf>
    <xf numFmtId="164" fontId="18" fillId="0" borderId="62" xfId="0" applyNumberFormat="1" applyFont="1" applyBorder="1" applyAlignment="1">
      <alignment horizontal="center" vertical="center"/>
    </xf>
    <xf numFmtId="164" fontId="18" fillId="0" borderId="51" xfId="0" applyNumberFormat="1" applyFont="1" applyBorder="1" applyAlignment="1">
      <alignment horizontal="center" vertical="center"/>
    </xf>
    <xf numFmtId="164" fontId="18" fillId="0" borderId="68" xfId="0" applyNumberFormat="1" applyFont="1" applyBorder="1" applyAlignment="1">
      <alignment horizontal="center" vertical="center"/>
    </xf>
    <xf numFmtId="171" fontId="18" fillId="0" borderId="0" xfId="0" applyNumberFormat="1" applyFont="1" applyAlignment="1">
      <alignment vertical="top" wrapText="1"/>
    </xf>
    <xf numFmtId="164" fontId="18" fillId="0" borderId="76" xfId="0" applyNumberFormat="1" applyFont="1" applyBorder="1" applyAlignment="1">
      <alignment horizontal="center" vertical="center"/>
    </xf>
    <xf numFmtId="164" fontId="18" fillId="0" borderId="77" xfId="0" applyNumberFormat="1" applyFont="1" applyBorder="1" applyAlignment="1">
      <alignment horizontal="center" vertical="center"/>
    </xf>
    <xf numFmtId="164" fontId="18" fillId="0" borderId="78" xfId="0" applyNumberFormat="1" applyFont="1" applyBorder="1" applyAlignment="1">
      <alignment horizontal="center" vertical="center"/>
    </xf>
    <xf numFmtId="164" fontId="18" fillId="0" borderId="71" xfId="0" applyNumberFormat="1" applyFont="1" applyBorder="1" applyAlignment="1">
      <alignment horizontal="center" vertical="center"/>
    </xf>
    <xf numFmtId="164" fontId="18" fillId="0" borderId="73" xfId="0" applyNumberFormat="1" applyFont="1" applyBorder="1" applyAlignment="1">
      <alignment horizontal="center" vertical="center"/>
    </xf>
    <xf numFmtId="3" fontId="21" fillId="0" borderId="49" xfId="0" applyNumberFormat="1" applyFont="1" applyBorder="1" applyAlignment="1">
      <alignment horizontal="center" vertical="center"/>
    </xf>
    <xf numFmtId="0" fontId="18" fillId="0" borderId="34" xfId="0" applyFont="1" applyBorder="1" applyAlignment="1">
      <alignment vertical="center"/>
    </xf>
    <xf numFmtId="0" fontId="22" fillId="30" borderId="49" xfId="0" applyFont="1" applyFill="1" applyBorder="1" applyAlignment="1">
      <alignment horizontal="center" vertical="center"/>
    </xf>
    <xf numFmtId="3" fontId="18" fillId="0" borderId="17" xfId="0" applyNumberFormat="1" applyFont="1" applyBorder="1" applyAlignment="1">
      <alignment horizontal="center" vertical="center"/>
    </xf>
    <xf numFmtId="0" fontId="22" fillId="30" borderId="34" xfId="0" applyFont="1" applyFill="1" applyBorder="1" applyAlignment="1">
      <alignment horizontal="center" vertical="center"/>
    </xf>
    <xf numFmtId="0" fontId="18" fillId="0" borderId="0" xfId="0" applyFont="1"/>
    <xf numFmtId="0" fontId="21" fillId="0" borderId="11" xfId="0" applyFont="1" applyBorder="1"/>
    <xf numFmtId="0" fontId="40" fillId="0" borderId="0" xfId="0" applyFont="1"/>
    <xf numFmtId="0" fontId="41" fillId="0" borderId="11" xfId="0" applyFont="1" applyBorder="1"/>
    <xf numFmtId="0" fontId="42" fillId="0" borderId="0" xfId="0" applyFont="1"/>
    <xf numFmtId="4" fontId="18" fillId="0" borderId="11" xfId="0" applyNumberFormat="1" applyFont="1" applyBorder="1"/>
    <xf numFmtId="4" fontId="21" fillId="0" borderId="11" xfId="0" applyNumberFormat="1" applyFont="1" applyBorder="1"/>
    <xf numFmtId="0" fontId="32" fillId="32" borderId="23" xfId="0" applyFont="1" applyFill="1" applyBorder="1" applyAlignment="1">
      <alignment vertical="center" wrapText="1"/>
    </xf>
    <xf numFmtId="0" fontId="22" fillId="32" borderId="52" xfId="0" applyFont="1" applyFill="1" applyBorder="1" applyAlignment="1">
      <alignment vertical="center" wrapText="1"/>
    </xf>
    <xf numFmtId="0" fontId="18" fillId="0" borderId="11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35" fillId="0" borderId="0" xfId="0" applyFont="1" applyAlignment="1">
      <alignment vertical="center" wrapText="1"/>
    </xf>
    <xf numFmtId="172" fontId="18" fillId="39" borderId="47" xfId="0" applyNumberFormat="1" applyFont="1" applyFill="1" applyBorder="1" applyAlignment="1">
      <alignment horizontal="center" vertical="center"/>
    </xf>
    <xf numFmtId="172" fontId="18" fillId="39" borderId="14" xfId="0" applyNumberFormat="1" applyFont="1" applyFill="1" applyBorder="1" applyAlignment="1">
      <alignment horizontal="center" vertical="center"/>
    </xf>
    <xf numFmtId="0" fontId="21" fillId="39" borderId="54" xfId="0" applyFont="1" applyFill="1" applyBorder="1" applyAlignment="1">
      <alignment horizontal="center" vertical="center"/>
    </xf>
    <xf numFmtId="4" fontId="18" fillId="0" borderId="0" xfId="0" applyNumberFormat="1" applyFont="1" applyAlignment="1">
      <alignment vertical="center"/>
    </xf>
    <xf numFmtId="0" fontId="18" fillId="0" borderId="55" xfId="0" applyFont="1" applyBorder="1" applyAlignment="1">
      <alignment vertical="center"/>
    </xf>
    <xf numFmtId="0" fontId="18" fillId="0" borderId="79" xfId="0" applyFont="1" applyBorder="1" applyAlignment="1">
      <alignment horizontal="center" vertical="center" wrapText="1"/>
    </xf>
    <xf numFmtId="0" fontId="36" fillId="42" borderId="35" xfId="0" applyFont="1" applyFill="1" applyBorder="1" applyAlignment="1">
      <alignment vertical="center" wrapText="1"/>
    </xf>
    <xf numFmtId="0" fontId="36" fillId="42" borderId="36" xfId="0" applyFont="1" applyFill="1" applyBorder="1" applyAlignment="1">
      <alignment vertical="center" wrapText="1"/>
    </xf>
    <xf numFmtId="164" fontId="36" fillId="43" borderId="31" xfId="0" applyNumberFormat="1" applyFont="1" applyFill="1" applyBorder="1" applyAlignment="1">
      <alignment horizontal="center" vertical="center" wrapText="1"/>
    </xf>
    <xf numFmtId="3" fontId="32" fillId="0" borderId="40" xfId="0" applyNumberFormat="1" applyFont="1" applyBorder="1" applyAlignment="1">
      <alignment horizontal="center" vertical="center" wrapText="1"/>
    </xf>
    <xf numFmtId="3" fontId="32" fillId="0" borderId="46" xfId="0" applyNumberFormat="1" applyFont="1" applyBorder="1" applyAlignment="1">
      <alignment horizontal="center" vertical="center" wrapText="1"/>
    </xf>
    <xf numFmtId="3" fontId="32" fillId="0" borderId="60" xfId="0" applyNumberFormat="1" applyFont="1" applyBorder="1" applyAlignment="1">
      <alignment horizontal="center" vertical="center" wrapText="1"/>
    </xf>
    <xf numFmtId="0" fontId="31" fillId="0" borderId="11" xfId="0" applyFont="1" applyBorder="1" applyAlignment="1">
      <alignment horizontal="center" vertical="center"/>
    </xf>
    <xf numFmtId="0" fontId="18" fillId="0" borderId="11" xfId="0" applyFont="1" applyBorder="1" applyAlignment="1">
      <alignment wrapText="1"/>
    </xf>
    <xf numFmtId="171" fontId="18" fillId="0" borderId="11" xfId="0" applyNumberFormat="1" applyFont="1" applyBorder="1" applyAlignment="1">
      <alignment horizontal="center" vertical="center"/>
    </xf>
    <xf numFmtId="171" fontId="18" fillId="0" borderId="11" xfId="0" applyNumberFormat="1" applyFont="1" applyBorder="1" applyAlignment="1">
      <alignment horizontal="center"/>
    </xf>
    <xf numFmtId="4" fontId="18" fillId="0" borderId="11" xfId="0" applyNumberFormat="1" applyFont="1" applyBorder="1" applyAlignment="1">
      <alignment horizontal="center" vertical="center" wrapText="1"/>
    </xf>
    <xf numFmtId="172" fontId="33" fillId="31" borderId="11" xfId="0" applyNumberFormat="1" applyFont="1" applyFill="1" applyBorder="1" applyAlignment="1">
      <alignment horizontal="center" vertical="center" wrapText="1"/>
    </xf>
    <xf numFmtId="0" fontId="22" fillId="35" borderId="20" xfId="0" applyFont="1" applyFill="1" applyBorder="1" applyAlignment="1">
      <alignment horizontal="center" vertical="center"/>
    </xf>
    <xf numFmtId="167" fontId="18" fillId="34" borderId="41" xfId="0" applyNumberFormat="1" applyFont="1" applyFill="1" applyBorder="1" applyAlignment="1">
      <alignment vertical="center"/>
    </xf>
    <xf numFmtId="167" fontId="18" fillId="34" borderId="11" xfId="0" applyNumberFormat="1" applyFont="1" applyFill="1" applyBorder="1" applyAlignment="1">
      <alignment vertical="center"/>
    </xf>
    <xf numFmtId="164" fontId="18" fillId="0" borderId="58" xfId="0" applyNumberFormat="1" applyFont="1" applyBorder="1" applyAlignment="1">
      <alignment horizontal="center" vertical="center"/>
    </xf>
    <xf numFmtId="164" fontId="18" fillId="0" borderId="80" xfId="0" applyNumberFormat="1" applyFont="1" applyBorder="1" applyAlignment="1">
      <alignment horizontal="center" vertical="center"/>
    </xf>
    <xf numFmtId="164" fontId="18" fillId="0" borderId="81" xfId="0" applyNumberFormat="1" applyFont="1" applyBorder="1" applyAlignment="1">
      <alignment horizontal="center" vertical="center"/>
    </xf>
    <xf numFmtId="164" fontId="18" fillId="0" borderId="82" xfId="0" applyNumberFormat="1" applyFont="1" applyBorder="1" applyAlignment="1">
      <alignment horizontal="center" vertical="center"/>
    </xf>
    <xf numFmtId="164" fontId="18" fillId="0" borderId="83" xfId="0" applyNumberFormat="1" applyFont="1" applyBorder="1" applyAlignment="1">
      <alignment horizontal="center" vertical="center"/>
    </xf>
    <xf numFmtId="0" fontId="22" fillId="30" borderId="46" xfId="0" applyFont="1" applyFill="1" applyBorder="1" applyAlignment="1">
      <alignment horizontal="center" vertical="center"/>
    </xf>
    <xf numFmtId="4" fontId="31" fillId="0" borderId="11" xfId="0" applyNumberFormat="1" applyFont="1" applyBorder="1" applyAlignment="1">
      <alignment horizontal="center" vertical="center"/>
    </xf>
    <xf numFmtId="3" fontId="21" fillId="0" borderId="30" xfId="0" applyNumberFormat="1" applyFont="1" applyBorder="1" applyAlignment="1">
      <alignment horizontal="center" vertical="center"/>
    </xf>
    <xf numFmtId="167" fontId="21" fillId="28" borderId="49" xfId="0" applyNumberFormat="1" applyFont="1" applyFill="1" applyBorder="1" applyAlignment="1">
      <alignment horizontal="right" vertical="center"/>
    </xf>
    <xf numFmtId="167" fontId="18" fillId="34" borderId="39" xfId="0" applyNumberFormat="1" applyFont="1" applyFill="1" applyBorder="1" applyAlignment="1">
      <alignment vertical="center"/>
    </xf>
    <xf numFmtId="167" fontId="21" fillId="47" borderId="15" xfId="0" applyNumberFormat="1" applyFont="1" applyFill="1" applyBorder="1" applyAlignment="1">
      <alignment vertical="center"/>
    </xf>
    <xf numFmtId="172" fontId="18" fillId="39" borderId="69" xfId="0" applyNumberFormat="1" applyFont="1" applyFill="1" applyBorder="1" applyAlignment="1">
      <alignment horizontal="center" vertical="center"/>
    </xf>
    <xf numFmtId="167" fontId="21" fillId="36" borderId="29" xfId="0" applyNumberFormat="1" applyFont="1" applyFill="1" applyBorder="1" applyAlignment="1">
      <alignment horizontal="right" vertical="center"/>
    </xf>
    <xf numFmtId="167" fontId="21" fillId="47" borderId="18" xfId="0" applyNumberFormat="1" applyFont="1" applyFill="1" applyBorder="1" applyAlignment="1">
      <alignment vertical="center"/>
    </xf>
    <xf numFmtId="0" fontId="21" fillId="39" borderId="49" xfId="0" applyFont="1" applyFill="1" applyBorder="1" applyAlignment="1">
      <alignment horizontal="center" vertical="center"/>
    </xf>
    <xf numFmtId="0" fontId="18" fillId="0" borderId="14" xfId="0" applyFont="1" applyBorder="1"/>
    <xf numFmtId="0" fontId="41" fillId="0" borderId="14" xfId="0" applyFont="1" applyBorder="1"/>
    <xf numFmtId="0" fontId="21" fillId="0" borderId="14" xfId="0" applyFont="1" applyBorder="1"/>
    <xf numFmtId="3" fontId="21" fillId="0" borderId="43" xfId="0" applyNumberFormat="1" applyFont="1" applyBorder="1" applyAlignment="1">
      <alignment horizontal="center" vertical="center"/>
    </xf>
    <xf numFmtId="3" fontId="21" fillId="0" borderId="26" xfId="0" applyNumberFormat="1" applyFont="1" applyBorder="1" applyAlignment="1">
      <alignment horizontal="center" vertical="center"/>
    </xf>
    <xf numFmtId="3" fontId="21" fillId="0" borderId="57" xfId="0" applyNumberFormat="1" applyFont="1" applyBorder="1" applyAlignment="1">
      <alignment horizontal="center" vertical="center"/>
    </xf>
    <xf numFmtId="166" fontId="21" fillId="47" borderId="36" xfId="0" applyNumberFormat="1" applyFont="1" applyFill="1" applyBorder="1" applyAlignment="1">
      <alignment vertical="center"/>
    </xf>
    <xf numFmtId="166" fontId="21" fillId="47" borderId="11" xfId="0" applyNumberFormat="1" applyFont="1" applyFill="1" applyBorder="1" applyAlignment="1">
      <alignment vertical="center"/>
    </xf>
    <xf numFmtId="166" fontId="21" fillId="47" borderId="26" xfId="0" applyNumberFormat="1" applyFont="1" applyFill="1" applyBorder="1" applyAlignment="1">
      <alignment vertical="center"/>
    </xf>
    <xf numFmtId="166" fontId="21" fillId="47" borderId="15" xfId="0" applyNumberFormat="1" applyFont="1" applyFill="1" applyBorder="1" applyAlignment="1">
      <alignment vertical="center"/>
    </xf>
    <xf numFmtId="0" fontId="32" fillId="46" borderId="85" xfId="0" applyFont="1" applyFill="1" applyBorder="1" applyAlignment="1">
      <alignment horizontal="center" vertical="center"/>
    </xf>
    <xf numFmtId="4" fontId="46" fillId="45" borderId="11" xfId="0" applyNumberFormat="1" applyFont="1" applyFill="1" applyBorder="1" applyAlignment="1">
      <alignment horizontal="right" vertical="center"/>
    </xf>
    <xf numFmtId="169" fontId="21" fillId="47" borderId="26" xfId="0" applyNumberFormat="1" applyFont="1" applyFill="1" applyBorder="1" applyAlignment="1">
      <alignment vertical="center"/>
    </xf>
    <xf numFmtId="168" fontId="18" fillId="26" borderId="0" xfId="0" applyNumberFormat="1" applyFont="1" applyFill="1" applyAlignment="1">
      <alignment vertical="center"/>
    </xf>
    <xf numFmtId="0" fontId="20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61" xfId="0" applyFont="1" applyBorder="1" applyAlignment="1">
      <alignment horizontal="center" vertical="center" wrapText="1"/>
    </xf>
    <xf numFmtId="0" fontId="18" fillId="0" borderId="28" xfId="0" applyFont="1" applyBorder="1" applyAlignment="1">
      <alignment horizontal="center" vertical="center" wrapText="1"/>
    </xf>
    <xf numFmtId="0" fontId="18" fillId="0" borderId="27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 wrapText="1"/>
    </xf>
    <xf numFmtId="0" fontId="18" fillId="0" borderId="62" xfId="0" applyFont="1" applyBorder="1" applyAlignment="1">
      <alignment horizontal="center" vertical="center" wrapText="1"/>
    </xf>
    <xf numFmtId="0" fontId="18" fillId="0" borderId="55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/>
    </xf>
    <xf numFmtId="0" fontId="18" fillId="0" borderId="62" xfId="0" applyFont="1" applyBorder="1" applyAlignment="1">
      <alignment horizontal="center" vertical="center"/>
    </xf>
    <xf numFmtId="0" fontId="18" fillId="0" borderId="55" xfId="0" applyFont="1" applyBorder="1" applyAlignment="1">
      <alignment horizontal="center" vertical="center"/>
    </xf>
    <xf numFmtId="0" fontId="24" fillId="0" borderId="0" xfId="0" applyFont="1" applyAlignment="1">
      <alignment horizontal="center" vertical="top"/>
    </xf>
    <xf numFmtId="0" fontId="31" fillId="0" borderId="23" xfId="0" applyFont="1" applyBorder="1" applyAlignment="1">
      <alignment horizontal="center" vertical="center" wrapText="1"/>
    </xf>
    <xf numFmtId="0" fontId="31" fillId="0" borderId="52" xfId="0" applyFont="1" applyBorder="1" applyAlignment="1">
      <alignment horizontal="center" vertical="center" wrapText="1"/>
    </xf>
    <xf numFmtId="0" fontId="34" fillId="0" borderId="0" xfId="0" applyFont="1" applyAlignment="1">
      <alignment horizontal="justify" vertical="center" wrapText="1"/>
    </xf>
    <xf numFmtId="0" fontId="21" fillId="44" borderId="46" xfId="0" applyFont="1" applyFill="1" applyBorder="1" applyAlignment="1">
      <alignment horizontal="center" vertical="center" wrapText="1"/>
    </xf>
    <xf numFmtId="0" fontId="21" fillId="44" borderId="24" xfId="0" applyFont="1" applyFill="1" applyBorder="1" applyAlignment="1">
      <alignment horizontal="center" vertical="center" wrapText="1"/>
    </xf>
    <xf numFmtId="0" fontId="21" fillId="44" borderId="26" xfId="0" applyFont="1" applyFill="1" applyBorder="1" applyAlignment="1">
      <alignment horizontal="center" vertical="center" wrapText="1"/>
    </xf>
    <xf numFmtId="0" fontId="35" fillId="0" borderId="0" xfId="0" applyFont="1" applyAlignment="1">
      <alignment horizontal="center" vertical="center" wrapText="1"/>
    </xf>
    <xf numFmtId="0" fontId="21" fillId="24" borderId="35" xfId="0" applyFont="1" applyFill="1" applyBorder="1" applyAlignment="1">
      <alignment horizontal="center" vertical="center" wrapText="1"/>
    </xf>
    <xf numFmtId="0" fontId="21" fillId="24" borderId="36" xfId="0" applyFont="1" applyFill="1" applyBorder="1" applyAlignment="1">
      <alignment horizontal="center" vertical="center" wrapText="1"/>
    </xf>
    <xf numFmtId="0" fontId="21" fillId="24" borderId="47" xfId="0" applyFont="1" applyFill="1" applyBorder="1" applyAlignment="1">
      <alignment horizontal="center" vertical="center" wrapText="1"/>
    </xf>
    <xf numFmtId="0" fontId="24" fillId="29" borderId="35" xfId="0" applyFont="1" applyFill="1" applyBorder="1" applyAlignment="1">
      <alignment horizontal="center" vertical="center" wrapText="1"/>
    </xf>
    <xf numFmtId="0" fontId="24" fillId="29" borderId="37" xfId="0" applyFont="1" applyFill="1" applyBorder="1" applyAlignment="1">
      <alignment horizontal="center" vertical="center" wrapText="1"/>
    </xf>
    <xf numFmtId="0" fontId="18" fillId="26" borderId="22" xfId="0" applyFont="1" applyFill="1" applyBorder="1" applyAlignment="1">
      <alignment horizontal="center" vertical="center" textRotation="90" wrapText="1"/>
    </xf>
    <xf numFmtId="0" fontId="18" fillId="26" borderId="50" xfId="0" applyFont="1" applyFill="1" applyBorder="1" applyAlignment="1">
      <alignment horizontal="center" vertical="center" textRotation="90" wrapText="1"/>
    </xf>
    <xf numFmtId="0" fontId="18" fillId="26" borderId="17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18" fillId="26" borderId="25" xfId="0" applyFont="1" applyFill="1" applyBorder="1" applyAlignment="1">
      <alignment horizontal="center" vertical="center" textRotation="90" wrapText="1"/>
    </xf>
    <xf numFmtId="0" fontId="18" fillId="26" borderId="48" xfId="0" applyFont="1" applyFill="1" applyBorder="1" applyAlignment="1">
      <alignment horizontal="center" vertical="center" textRotation="90" wrapText="1"/>
    </xf>
    <xf numFmtId="0" fontId="21" fillId="25" borderId="29" xfId="0" applyFont="1" applyFill="1" applyBorder="1" applyAlignment="1">
      <alignment horizontal="center" vertical="center" wrapText="1"/>
    </xf>
    <xf numFmtId="0" fontId="21" fillId="25" borderId="18" xfId="0" applyFont="1" applyFill="1" applyBorder="1" applyAlignment="1">
      <alignment horizontal="center" vertical="center" wrapText="1"/>
    </xf>
    <xf numFmtId="0" fontId="21" fillId="25" borderId="19" xfId="0" applyFont="1" applyFill="1" applyBorder="1" applyAlignment="1">
      <alignment horizontal="center" vertical="center" wrapText="1"/>
    </xf>
    <xf numFmtId="0" fontId="21" fillId="25" borderId="59" xfId="0" applyFont="1" applyFill="1" applyBorder="1" applyAlignment="1">
      <alignment horizontal="left" vertical="center" wrapText="1"/>
    </xf>
    <xf numFmtId="0" fontId="21" fillId="25" borderId="46" xfId="0" applyFont="1" applyFill="1" applyBorder="1" applyAlignment="1">
      <alignment horizontal="left" vertical="center" wrapText="1"/>
    </xf>
    <xf numFmtId="0" fontId="21" fillId="25" borderId="60" xfId="0" applyFont="1" applyFill="1" applyBorder="1" applyAlignment="1">
      <alignment horizontal="left" vertical="center" wrapText="1"/>
    </xf>
    <xf numFmtId="0" fontId="21" fillId="38" borderId="23" xfId="0" applyFont="1" applyFill="1" applyBorder="1" applyAlignment="1">
      <alignment horizontal="center" vertical="center" wrapText="1"/>
    </xf>
    <xf numFmtId="0" fontId="21" fillId="38" borderId="51" xfId="0" applyFont="1" applyFill="1" applyBorder="1" applyAlignment="1">
      <alignment horizontal="center" vertical="center" wrapText="1"/>
    </xf>
    <xf numFmtId="0" fontId="21" fillId="38" borderId="52" xfId="0" applyFont="1" applyFill="1" applyBorder="1" applyAlignment="1">
      <alignment horizontal="center" vertical="center" wrapText="1"/>
    </xf>
    <xf numFmtId="0" fontId="21" fillId="24" borderId="37" xfId="0" applyFont="1" applyFill="1" applyBorder="1" applyAlignment="1">
      <alignment horizontal="center" vertical="center" wrapText="1"/>
    </xf>
    <xf numFmtId="0" fontId="21" fillId="34" borderId="23" xfId="0" applyFont="1" applyFill="1" applyBorder="1" applyAlignment="1">
      <alignment horizontal="center" vertical="center" wrapText="1"/>
    </xf>
    <xf numFmtId="0" fontId="21" fillId="34" borderId="52" xfId="0" applyFont="1" applyFill="1" applyBorder="1" applyAlignment="1">
      <alignment horizontal="center" vertical="center" wrapText="1"/>
    </xf>
    <xf numFmtId="0" fontId="18" fillId="26" borderId="23" xfId="0" applyFont="1" applyFill="1" applyBorder="1" applyAlignment="1">
      <alignment horizontal="center" vertical="center" wrapText="1"/>
    </xf>
    <xf numFmtId="0" fontId="18" fillId="26" borderId="51" xfId="0" applyFont="1" applyFill="1" applyBorder="1" applyAlignment="1">
      <alignment horizontal="center" vertical="center" wrapText="1"/>
    </xf>
    <xf numFmtId="0" fontId="18" fillId="26" borderId="52" xfId="0" applyFont="1" applyFill="1" applyBorder="1" applyAlignment="1">
      <alignment horizontal="center" vertical="center" wrapText="1"/>
    </xf>
    <xf numFmtId="0" fontId="20" fillId="25" borderId="58" xfId="0" applyFont="1" applyFill="1" applyBorder="1" applyAlignment="1">
      <alignment horizontal="center" vertical="center" wrapText="1"/>
    </xf>
    <xf numFmtId="0" fontId="20" fillId="25" borderId="63" xfId="0" applyFont="1" applyFill="1" applyBorder="1" applyAlignment="1">
      <alignment horizontal="center" vertical="center" wrapText="1"/>
    </xf>
    <xf numFmtId="0" fontId="20" fillId="25" borderId="64" xfId="0" applyFont="1" applyFill="1" applyBorder="1" applyAlignment="1">
      <alignment horizontal="center" vertical="center" wrapText="1"/>
    </xf>
    <xf numFmtId="0" fontId="21" fillId="25" borderId="40" xfId="0" applyFont="1" applyFill="1" applyBorder="1" applyAlignment="1">
      <alignment horizontal="center" vertical="center" wrapText="1"/>
    </xf>
    <xf numFmtId="0" fontId="21" fillId="25" borderId="46" xfId="0" applyFont="1" applyFill="1" applyBorder="1" applyAlignment="1">
      <alignment horizontal="center" vertical="center" wrapText="1"/>
    </xf>
    <xf numFmtId="0" fontId="21" fillId="25" borderId="66" xfId="0" applyFont="1" applyFill="1" applyBorder="1" applyAlignment="1">
      <alignment horizontal="center" vertical="center" wrapText="1"/>
    </xf>
    <xf numFmtId="0" fontId="18" fillId="26" borderId="31" xfId="0" applyFont="1" applyFill="1" applyBorder="1" applyAlignment="1">
      <alignment horizontal="center" vertical="center" wrapText="1"/>
    </xf>
    <xf numFmtId="0" fontId="27" fillId="26" borderId="33" xfId="0" applyFont="1" applyFill="1" applyBorder="1" applyAlignment="1">
      <alignment horizontal="center" vertical="center" wrapText="1"/>
    </xf>
    <xf numFmtId="0" fontId="21" fillId="33" borderId="40" xfId="0" applyFont="1" applyFill="1" applyBorder="1" applyAlignment="1">
      <alignment horizontal="center" vertical="center" wrapText="1"/>
    </xf>
    <xf numFmtId="0" fontId="21" fillId="33" borderId="41" xfId="0" applyFont="1" applyFill="1" applyBorder="1" applyAlignment="1">
      <alignment horizontal="center" vertical="center" wrapText="1"/>
    </xf>
    <xf numFmtId="0" fontId="21" fillId="33" borderId="43" xfId="0" applyFont="1" applyFill="1" applyBorder="1" applyAlignment="1">
      <alignment horizontal="center" vertical="center" wrapText="1"/>
    </xf>
    <xf numFmtId="0" fontId="21" fillId="38" borderId="37" xfId="0" applyFont="1" applyFill="1" applyBorder="1" applyAlignment="1">
      <alignment horizontal="center" vertical="center" wrapText="1"/>
    </xf>
    <xf numFmtId="0" fontId="21" fillId="38" borderId="12" xfId="0" applyFont="1" applyFill="1" applyBorder="1" applyAlignment="1">
      <alignment horizontal="center" vertical="center" wrapText="1"/>
    </xf>
    <xf numFmtId="0" fontId="21" fillId="38" borderId="33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wrapText="1"/>
    </xf>
  </cellXfs>
  <cellStyles count="46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te" xfId="37" xr:uid="{00000000-0005-0000-0000-000024000000}"/>
    <cellStyle name="Output" xfId="38" xr:uid="{00000000-0005-0000-0000-000025000000}"/>
    <cellStyle name="Title" xfId="39" xr:uid="{00000000-0005-0000-0000-000026000000}"/>
    <cellStyle name="Total" xfId="40" xr:uid="{00000000-0005-0000-0000-000027000000}"/>
    <cellStyle name="Warning Text" xfId="41" xr:uid="{00000000-0005-0000-0000-000028000000}"/>
    <cellStyle name="Данные (только для чтения)" xfId="42" xr:uid="{00000000-0005-0000-0000-000029000000}"/>
    <cellStyle name="Данные (только для чтения) 10" xfId="45" xr:uid="{AB379B22-2AAC-42C2-AF76-52E4EA01ECCE}"/>
    <cellStyle name="Обычный" xfId="0" builtinId="0"/>
    <cellStyle name="Обычный 2" xfId="43" xr:uid="{00000000-0005-0000-0000-00002B000000}"/>
    <cellStyle name="Обычный 3" xfId="44" xr:uid="{163981B1-B574-4090-8F3F-5E2540772F59}"/>
  </cellStyles>
  <dxfs count="0"/>
  <tableStyles count="0" defaultTableStyle="TableStyleMedium9" defaultPivotStyle="PivotStyleLight16"/>
  <colors>
    <mruColors>
      <color rgb="FF66FFFF"/>
      <color rgb="FFCCFFCC"/>
      <color rgb="FFB7F9A7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B28"/>
  <sheetViews>
    <sheetView zoomScale="70" zoomScaleNormal="70" zoomScaleSheetLayoutView="90" workbookViewId="0">
      <selection activeCell="P21" sqref="P21"/>
    </sheetView>
  </sheetViews>
  <sheetFormatPr defaultRowHeight="15.75" x14ac:dyDescent="0.2"/>
  <cols>
    <col min="1" max="1" width="7.28515625" style="1" customWidth="1"/>
    <col min="2" max="2" width="27.5703125" style="1" customWidth="1"/>
    <col min="3" max="3" width="17.85546875" style="2" customWidth="1"/>
    <col min="4" max="6" width="22.42578125" style="2" customWidth="1"/>
    <col min="7" max="9" width="19.42578125" style="3" customWidth="1"/>
    <col min="10" max="10" width="19.42578125" style="1" customWidth="1"/>
    <col min="11" max="12" width="9.140625" style="1"/>
    <col min="13" max="13" width="14.28515625" style="1" bestFit="1" customWidth="1"/>
    <col min="14" max="236" width="9.140625" style="1"/>
  </cols>
  <sheetData>
    <row r="2" spans="1:13" s="4" customFormat="1" ht="27" customHeight="1" x14ac:dyDescent="0.2">
      <c r="A2" s="246" t="s">
        <v>72</v>
      </c>
      <c r="B2" s="246"/>
      <c r="C2" s="246"/>
      <c r="D2" s="246"/>
      <c r="E2" s="246"/>
      <c r="F2" s="246"/>
      <c r="G2" s="246"/>
      <c r="H2" s="246"/>
      <c r="I2" s="246"/>
      <c r="J2" s="246"/>
    </row>
    <row r="3" spans="1:13" s="4" customFormat="1" ht="16.5" x14ac:dyDescent="0.2">
      <c r="B3" s="245"/>
      <c r="C3" s="245"/>
      <c r="D3" s="245"/>
      <c r="E3" s="245"/>
      <c r="F3" s="245"/>
      <c r="G3" s="245"/>
      <c r="H3" s="245"/>
      <c r="I3" s="245"/>
    </row>
    <row r="4" spans="1:13" x14ac:dyDescent="0.2">
      <c r="B4" s="5"/>
      <c r="C4" s="6"/>
      <c r="D4" s="6"/>
      <c r="E4" s="6"/>
      <c r="F4" s="6"/>
    </row>
    <row r="5" spans="1:13" ht="20.25" customHeight="1" thickBot="1" x14ac:dyDescent="0.25">
      <c r="A5" s="250" t="s">
        <v>56</v>
      </c>
      <c r="B5" s="250"/>
      <c r="C5" s="250"/>
      <c r="D5" s="250"/>
      <c r="E5" s="250"/>
      <c r="F5" s="250"/>
      <c r="G5" s="250"/>
      <c r="H5" s="250"/>
      <c r="I5" s="250"/>
      <c r="J5" s="250"/>
    </row>
    <row r="6" spans="1:13" s="7" customFormat="1" ht="64.5" customHeight="1" x14ac:dyDescent="0.2">
      <c r="A6" s="254" t="s">
        <v>0</v>
      </c>
      <c r="B6" s="251" t="s">
        <v>7</v>
      </c>
      <c r="C6" s="82" t="s">
        <v>197</v>
      </c>
      <c r="D6" s="82" t="s">
        <v>62</v>
      </c>
      <c r="E6" s="82" t="s">
        <v>189</v>
      </c>
      <c r="F6" s="82" t="s">
        <v>189</v>
      </c>
      <c r="G6" s="247" t="s">
        <v>70</v>
      </c>
      <c r="H6" s="248"/>
      <c r="I6" s="248"/>
      <c r="J6" s="248"/>
    </row>
    <row r="7" spans="1:13" s="7" customFormat="1" ht="54.75" customHeight="1" thickBot="1" x14ac:dyDescent="0.25">
      <c r="A7" s="255"/>
      <c r="B7" s="252"/>
      <c r="C7" s="83" t="s">
        <v>211</v>
      </c>
      <c r="D7" s="85" t="s">
        <v>202</v>
      </c>
      <c r="E7" s="85" t="s">
        <v>209</v>
      </c>
      <c r="F7" s="85" t="s">
        <v>212</v>
      </c>
      <c r="G7" s="249"/>
      <c r="H7" s="250"/>
      <c r="I7" s="250"/>
      <c r="J7" s="250"/>
    </row>
    <row r="8" spans="1:13" s="7" customFormat="1" ht="104.25" customHeight="1" thickBot="1" x14ac:dyDescent="0.25">
      <c r="A8" s="256"/>
      <c r="B8" s="253"/>
      <c r="C8" s="84" t="s">
        <v>1</v>
      </c>
      <c r="D8" s="84" t="s">
        <v>2</v>
      </c>
      <c r="E8" s="84" t="s">
        <v>2</v>
      </c>
      <c r="F8" s="200" t="s">
        <v>2</v>
      </c>
      <c r="G8" s="201" t="s">
        <v>213</v>
      </c>
      <c r="H8" s="202" t="s">
        <v>214</v>
      </c>
      <c r="I8" s="202" t="s">
        <v>215</v>
      </c>
      <c r="J8" s="202" t="s">
        <v>216</v>
      </c>
    </row>
    <row r="9" spans="1:13" s="8" customFormat="1" ht="15.75" customHeight="1" thickBot="1" x14ac:dyDescent="0.25">
      <c r="A9" s="199"/>
      <c r="B9" s="51" t="s">
        <v>3</v>
      </c>
      <c r="C9" s="49" t="s">
        <v>5</v>
      </c>
      <c r="D9" s="49" t="s">
        <v>4</v>
      </c>
      <c r="E9" s="49" t="s">
        <v>4</v>
      </c>
      <c r="F9" s="100" t="s">
        <v>4</v>
      </c>
      <c r="G9" s="203" t="s">
        <v>190</v>
      </c>
      <c r="H9" s="81" t="s">
        <v>191</v>
      </c>
      <c r="I9" s="81" t="s">
        <v>192</v>
      </c>
      <c r="J9" s="81"/>
    </row>
    <row r="10" spans="1:13" s="8" customFormat="1" thickBot="1" x14ac:dyDescent="0.25">
      <c r="A10" s="32">
        <v>1</v>
      </c>
      <c r="B10" s="33">
        <v>2</v>
      </c>
      <c r="C10" s="33">
        <v>3</v>
      </c>
      <c r="D10" s="221">
        <v>4</v>
      </c>
      <c r="E10" s="221">
        <v>4</v>
      </c>
      <c r="F10" s="221">
        <v>4</v>
      </c>
      <c r="G10" s="33">
        <v>5</v>
      </c>
      <c r="H10" s="33">
        <v>6</v>
      </c>
      <c r="I10" s="180">
        <v>7</v>
      </c>
      <c r="J10" s="182">
        <v>8</v>
      </c>
    </row>
    <row r="11" spans="1:13" ht="31.5" x14ac:dyDescent="0.25">
      <c r="A11" s="35">
        <v>1</v>
      </c>
      <c r="B11" s="158" t="s">
        <v>172</v>
      </c>
      <c r="C11" s="161">
        <v>884</v>
      </c>
      <c r="D11" s="222">
        <v>938801</v>
      </c>
      <c r="E11" s="222">
        <v>1008084</v>
      </c>
      <c r="F11" s="222">
        <v>1085380</v>
      </c>
      <c r="G11" s="216">
        <v>15</v>
      </c>
      <c r="H11" s="167">
        <v>6</v>
      </c>
      <c r="I11" s="173">
        <v>433.61</v>
      </c>
      <c r="J11" s="181">
        <v>3</v>
      </c>
    </row>
    <row r="12" spans="1:13" ht="31.5" x14ac:dyDescent="0.25">
      <c r="A12" s="36">
        <v>2</v>
      </c>
      <c r="B12" s="159" t="s">
        <v>173</v>
      </c>
      <c r="C12" s="162">
        <v>690</v>
      </c>
      <c r="D12" s="222">
        <v>902050</v>
      </c>
      <c r="E12" s="222">
        <v>963802</v>
      </c>
      <c r="F12" s="222">
        <v>1030441</v>
      </c>
      <c r="G12" s="217">
        <v>55</v>
      </c>
      <c r="H12" s="168">
        <v>4</v>
      </c>
      <c r="I12" s="174">
        <v>222.31</v>
      </c>
      <c r="J12" s="181">
        <v>4</v>
      </c>
      <c r="M12" s="198"/>
    </row>
    <row r="13" spans="1:13" ht="31.5" x14ac:dyDescent="0.25">
      <c r="A13" s="36">
        <v>3</v>
      </c>
      <c r="B13" s="159" t="s">
        <v>174</v>
      </c>
      <c r="C13" s="162">
        <v>392</v>
      </c>
      <c r="D13" s="222">
        <v>527763</v>
      </c>
      <c r="E13" s="222">
        <v>559974</v>
      </c>
      <c r="F13" s="222">
        <v>595059</v>
      </c>
      <c r="G13" s="217">
        <v>45</v>
      </c>
      <c r="H13" s="168">
        <v>4</v>
      </c>
      <c r="I13" s="174">
        <v>328.58</v>
      </c>
      <c r="J13" s="181">
        <v>8</v>
      </c>
    </row>
    <row r="14" spans="1:13" ht="31.5" x14ac:dyDescent="0.25">
      <c r="A14" s="36">
        <v>4</v>
      </c>
      <c r="B14" s="159" t="s">
        <v>175</v>
      </c>
      <c r="C14" s="162">
        <v>436</v>
      </c>
      <c r="D14" s="222">
        <v>718083</v>
      </c>
      <c r="E14" s="222">
        <v>775690</v>
      </c>
      <c r="F14" s="222">
        <v>837719</v>
      </c>
      <c r="G14" s="217">
        <v>25</v>
      </c>
      <c r="H14" s="168">
        <v>6</v>
      </c>
      <c r="I14" s="174">
        <v>592.47</v>
      </c>
      <c r="J14" s="181">
        <v>7</v>
      </c>
    </row>
    <row r="15" spans="1:13" ht="31.5" x14ac:dyDescent="0.25">
      <c r="A15" s="36">
        <v>5</v>
      </c>
      <c r="B15" s="159" t="s">
        <v>176</v>
      </c>
      <c r="C15" s="162">
        <v>656</v>
      </c>
      <c r="D15" s="222">
        <v>1382868</v>
      </c>
      <c r="E15" s="222">
        <v>1441204</v>
      </c>
      <c r="F15" s="222">
        <v>1504037</v>
      </c>
      <c r="G15" s="217">
        <v>35</v>
      </c>
      <c r="H15" s="168">
        <v>6</v>
      </c>
      <c r="I15" s="174">
        <v>569.11</v>
      </c>
      <c r="J15" s="181">
        <v>5</v>
      </c>
    </row>
    <row r="16" spans="1:13" ht="31.5" x14ac:dyDescent="0.25">
      <c r="A16" s="36">
        <v>6</v>
      </c>
      <c r="B16" s="160" t="s">
        <v>177</v>
      </c>
      <c r="C16" s="163">
        <v>449</v>
      </c>
      <c r="D16" s="222">
        <v>288926</v>
      </c>
      <c r="E16" s="222">
        <v>309071</v>
      </c>
      <c r="F16" s="222">
        <v>330760</v>
      </c>
      <c r="G16" s="218">
        <v>99</v>
      </c>
      <c r="H16" s="169">
        <v>6</v>
      </c>
      <c r="I16" s="175">
        <v>467.05</v>
      </c>
      <c r="J16" s="181">
        <v>7</v>
      </c>
    </row>
    <row r="17" spans="1:13" ht="31.5" x14ac:dyDescent="0.25">
      <c r="A17" s="36">
        <v>7</v>
      </c>
      <c r="B17" s="159" t="s">
        <v>178</v>
      </c>
      <c r="C17" s="164">
        <v>711</v>
      </c>
      <c r="D17" s="222">
        <v>433318</v>
      </c>
      <c r="E17" s="222">
        <v>464314</v>
      </c>
      <c r="F17" s="222">
        <v>498630</v>
      </c>
      <c r="G17" s="219">
        <v>12</v>
      </c>
      <c r="H17" s="170">
        <v>5</v>
      </c>
      <c r="I17" s="176">
        <v>332.19</v>
      </c>
      <c r="J17" s="181">
        <v>4</v>
      </c>
    </row>
    <row r="18" spans="1:13" ht="31.5" x14ac:dyDescent="0.25">
      <c r="A18" s="36">
        <v>8</v>
      </c>
      <c r="B18" s="159" t="s">
        <v>179</v>
      </c>
      <c r="C18" s="164">
        <v>556</v>
      </c>
      <c r="D18" s="222">
        <v>428854</v>
      </c>
      <c r="E18" s="222">
        <v>458256</v>
      </c>
      <c r="F18" s="222">
        <v>489878</v>
      </c>
      <c r="G18" s="219">
        <v>36</v>
      </c>
      <c r="H18" s="170">
        <v>3</v>
      </c>
      <c r="I18" s="176">
        <v>256.7</v>
      </c>
      <c r="J18" s="181">
        <v>6</v>
      </c>
    </row>
    <row r="19" spans="1:13" ht="31.5" x14ac:dyDescent="0.25">
      <c r="A19" s="36">
        <v>9</v>
      </c>
      <c r="B19" s="159" t="s">
        <v>180</v>
      </c>
      <c r="C19" s="164">
        <v>497</v>
      </c>
      <c r="D19" s="222">
        <v>778112</v>
      </c>
      <c r="E19" s="222">
        <v>838181</v>
      </c>
      <c r="F19" s="222">
        <v>902992</v>
      </c>
      <c r="G19" s="219">
        <v>64</v>
      </c>
      <c r="H19" s="170">
        <v>5</v>
      </c>
      <c r="I19" s="176">
        <v>497.75</v>
      </c>
      <c r="J19" s="181">
        <v>7</v>
      </c>
    </row>
    <row r="20" spans="1:13" ht="31.5" x14ac:dyDescent="0.25">
      <c r="A20" s="36">
        <v>10</v>
      </c>
      <c r="B20" s="159" t="s">
        <v>181</v>
      </c>
      <c r="C20" s="164">
        <v>348</v>
      </c>
      <c r="D20" s="222">
        <v>360903</v>
      </c>
      <c r="E20" s="222">
        <v>380385</v>
      </c>
      <c r="F20" s="222">
        <v>401156</v>
      </c>
      <c r="G20" s="219">
        <v>45</v>
      </c>
      <c r="H20" s="170">
        <v>4</v>
      </c>
      <c r="I20" s="176">
        <v>252.92</v>
      </c>
      <c r="J20" s="181">
        <v>8</v>
      </c>
    </row>
    <row r="21" spans="1:13" ht="31.5" x14ac:dyDescent="0.25">
      <c r="A21" s="36">
        <v>11</v>
      </c>
      <c r="B21" s="159" t="s">
        <v>182</v>
      </c>
      <c r="C21" s="164">
        <v>780</v>
      </c>
      <c r="D21" s="222">
        <v>729180</v>
      </c>
      <c r="E21" s="222">
        <v>775969</v>
      </c>
      <c r="F21" s="222">
        <v>826205</v>
      </c>
      <c r="G21" s="219">
        <v>16</v>
      </c>
      <c r="H21" s="170">
        <v>5</v>
      </c>
      <c r="I21" s="176">
        <v>410.47</v>
      </c>
      <c r="J21" s="181">
        <v>4</v>
      </c>
    </row>
    <row r="22" spans="1:13" ht="31.5" x14ac:dyDescent="0.25">
      <c r="A22" s="36">
        <v>12</v>
      </c>
      <c r="B22" s="159" t="s">
        <v>183</v>
      </c>
      <c r="C22" s="164">
        <v>1048</v>
      </c>
      <c r="D22" s="222">
        <v>338586</v>
      </c>
      <c r="E22" s="222">
        <v>362686</v>
      </c>
      <c r="F22" s="222">
        <v>388142</v>
      </c>
      <c r="G22" s="219">
        <v>7</v>
      </c>
      <c r="H22" s="170">
        <v>1</v>
      </c>
      <c r="I22" s="176">
        <v>122.05</v>
      </c>
      <c r="J22" s="181">
        <v>2</v>
      </c>
    </row>
    <row r="23" spans="1:13" ht="31.5" x14ac:dyDescent="0.25">
      <c r="A23" s="36">
        <v>13</v>
      </c>
      <c r="B23" s="159" t="s">
        <v>184</v>
      </c>
      <c r="C23" s="164">
        <v>518</v>
      </c>
      <c r="D23" s="222">
        <v>487313</v>
      </c>
      <c r="E23" s="222">
        <v>523393</v>
      </c>
      <c r="F23" s="222">
        <v>561624</v>
      </c>
      <c r="G23" s="219">
        <v>12</v>
      </c>
      <c r="H23" s="170">
        <v>3</v>
      </c>
      <c r="I23" s="176">
        <v>245.39</v>
      </c>
      <c r="J23" s="181">
        <v>6</v>
      </c>
    </row>
    <row r="24" spans="1:13" ht="31.5" x14ac:dyDescent="0.25">
      <c r="A24" s="36">
        <v>14</v>
      </c>
      <c r="B24" s="159" t="s">
        <v>185</v>
      </c>
      <c r="C24" s="164">
        <v>580</v>
      </c>
      <c r="D24" s="222">
        <v>1563282</v>
      </c>
      <c r="E24" s="222">
        <v>1692501</v>
      </c>
      <c r="F24" s="222">
        <v>1833671</v>
      </c>
      <c r="G24" s="219">
        <v>52</v>
      </c>
      <c r="H24" s="170">
        <v>3</v>
      </c>
      <c r="I24" s="176">
        <v>713.72</v>
      </c>
      <c r="J24" s="181">
        <v>6</v>
      </c>
    </row>
    <row r="25" spans="1:13" ht="36" customHeight="1" x14ac:dyDescent="0.25">
      <c r="A25" s="36">
        <v>15</v>
      </c>
      <c r="B25" s="159" t="s">
        <v>186</v>
      </c>
      <c r="C25" s="164">
        <v>435</v>
      </c>
      <c r="D25" s="222">
        <v>449890</v>
      </c>
      <c r="E25" s="222">
        <v>475899</v>
      </c>
      <c r="F25" s="222">
        <v>507432</v>
      </c>
      <c r="G25" s="219">
        <v>22</v>
      </c>
      <c r="H25" s="170">
        <v>5</v>
      </c>
      <c r="I25" s="176">
        <v>283.16000000000003</v>
      </c>
      <c r="J25" s="181">
        <v>7</v>
      </c>
    </row>
    <row r="26" spans="1:13" ht="31.5" x14ac:dyDescent="0.25">
      <c r="A26" s="36">
        <v>16</v>
      </c>
      <c r="B26" s="159" t="s">
        <v>187</v>
      </c>
      <c r="C26" s="164">
        <v>464</v>
      </c>
      <c r="D26" s="222">
        <v>963349</v>
      </c>
      <c r="E26" s="222">
        <v>1033157</v>
      </c>
      <c r="F26" s="222">
        <v>1108569</v>
      </c>
      <c r="G26" s="219">
        <v>45</v>
      </c>
      <c r="H26" s="170">
        <v>6</v>
      </c>
      <c r="I26" s="176">
        <v>617.55999999999995</v>
      </c>
      <c r="J26" s="181">
        <v>7</v>
      </c>
    </row>
    <row r="27" spans="1:13" ht="32.25" thickBot="1" x14ac:dyDescent="0.3">
      <c r="A27" s="36">
        <v>17</v>
      </c>
      <c r="B27" s="160" t="s">
        <v>188</v>
      </c>
      <c r="C27" s="165">
        <v>9670</v>
      </c>
      <c r="D27" s="222">
        <v>20730230</v>
      </c>
      <c r="E27" s="222">
        <v>22005092</v>
      </c>
      <c r="F27" s="222">
        <v>23259822</v>
      </c>
      <c r="G27" s="220"/>
      <c r="H27" s="171">
        <v>1</v>
      </c>
      <c r="I27" s="177">
        <v>44.6</v>
      </c>
      <c r="J27" s="181">
        <v>1</v>
      </c>
      <c r="M27" s="198"/>
    </row>
    <row r="28" spans="1:13" ht="16.5" thickBot="1" x14ac:dyDescent="0.25">
      <c r="A28" s="15"/>
      <c r="B28" s="16" t="s">
        <v>6</v>
      </c>
      <c r="C28" s="178">
        <f>SUM(C11:C27)</f>
        <v>19114</v>
      </c>
      <c r="D28" s="234">
        <f>SUM(D11:D27)</f>
        <v>32021508</v>
      </c>
      <c r="E28" s="235">
        <f>SUM(E11:E27)</f>
        <v>34067658</v>
      </c>
      <c r="F28" s="236">
        <f>SUM(F11:F27)</f>
        <v>36161517</v>
      </c>
      <c r="G28" s="223">
        <f t="shared" ref="G28:I28" si="0">SUM(G11:G27)</f>
        <v>585</v>
      </c>
      <c r="H28" s="17">
        <f t="shared" si="0"/>
        <v>73</v>
      </c>
      <c r="I28" s="178">
        <f t="shared" si="0"/>
        <v>6389.6400000000012</v>
      </c>
      <c r="J28" s="179"/>
    </row>
  </sheetData>
  <sheetProtection selectLockedCells="1" selectUnlockedCells="1"/>
  <protectedRanges>
    <protectedRange sqref="B11:B27" name="Диапазон3_1"/>
    <protectedRange sqref="B11:B27" name="Диапазон2_1"/>
  </protectedRanges>
  <autoFilter ref="A10:IB28" xr:uid="{00000000-0001-0000-0000-000000000000}"/>
  <mergeCells count="6">
    <mergeCell ref="B3:I3"/>
    <mergeCell ref="A2:J2"/>
    <mergeCell ref="G6:J7"/>
    <mergeCell ref="B6:B8"/>
    <mergeCell ref="A6:A8"/>
    <mergeCell ref="A5:J5"/>
  </mergeCells>
  <printOptions horizontalCentered="1"/>
  <pageMargins left="0" right="0" top="0.39370078740157483" bottom="0.39370078740157483" header="0.23622047244094491" footer="0.51181102362204722"/>
  <pageSetup paperSize="9" scale="56" firstPageNumber="0" pageOrder="overThenDown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25"/>
  <sheetViews>
    <sheetView view="pageBreakPreview" zoomScale="90" zoomScaleNormal="110" zoomScaleSheetLayoutView="90" workbookViewId="0">
      <selection activeCell="F11" sqref="F11"/>
    </sheetView>
  </sheetViews>
  <sheetFormatPr defaultRowHeight="15.75" x14ac:dyDescent="0.2"/>
  <cols>
    <col min="1" max="1" width="6.140625" style="9" customWidth="1"/>
    <col min="2" max="2" width="37.5703125" style="9" customWidth="1"/>
    <col min="3" max="5" width="16.85546875" style="9" customWidth="1"/>
    <col min="6" max="6" width="22.5703125" style="9" customWidth="1"/>
    <col min="7" max="7" width="26.28515625" style="9" customWidth="1"/>
    <col min="8" max="8" width="13.42578125" style="9" bestFit="1" customWidth="1"/>
    <col min="9" max="16384" width="9.140625" style="9"/>
  </cols>
  <sheetData>
    <row r="1" spans="1:8" x14ac:dyDescent="0.2">
      <c r="C1" s="10"/>
      <c r="D1" s="10"/>
      <c r="E1" s="10"/>
      <c r="F1" s="10"/>
    </row>
    <row r="2" spans="1:8" s="11" customFormat="1" ht="18.75" x14ac:dyDescent="0.2">
      <c r="A2" s="257" t="s">
        <v>63</v>
      </c>
      <c r="B2" s="257"/>
      <c r="C2" s="257"/>
      <c r="D2" s="257"/>
      <c r="E2" s="257"/>
      <c r="F2" s="257"/>
      <c r="G2" s="257"/>
    </row>
    <row r="3" spans="1:8" ht="16.5" thickBot="1" x14ac:dyDescent="0.25"/>
    <row r="4" spans="1:8" s="7" customFormat="1" ht="176.25" customHeight="1" thickBot="1" x14ac:dyDescent="0.25">
      <c r="A4" s="258" t="s">
        <v>0</v>
      </c>
      <c r="B4" s="258" t="s">
        <v>61</v>
      </c>
      <c r="C4" s="166" t="s">
        <v>193</v>
      </c>
      <c r="D4" s="166" t="s">
        <v>194</v>
      </c>
      <c r="E4" s="166" t="s">
        <v>195</v>
      </c>
      <c r="F4" s="166" t="s">
        <v>199</v>
      </c>
      <c r="G4" s="190" t="s">
        <v>64</v>
      </c>
    </row>
    <row r="5" spans="1:8" s="12" customFormat="1" ht="88.5" customHeight="1" thickBot="1" x14ac:dyDescent="0.25">
      <c r="A5" s="259"/>
      <c r="B5" s="259"/>
      <c r="C5" s="80" t="s">
        <v>204</v>
      </c>
      <c r="D5" s="80" t="s">
        <v>205</v>
      </c>
      <c r="E5" s="80" t="s">
        <v>206</v>
      </c>
      <c r="F5" s="80" t="s">
        <v>207</v>
      </c>
      <c r="G5" s="191" t="s">
        <v>208</v>
      </c>
    </row>
    <row r="6" spans="1:8" s="13" customFormat="1" ht="15" x14ac:dyDescent="0.2">
      <c r="A6" s="204">
        <v>1</v>
      </c>
      <c r="B6" s="205">
        <f t="shared" ref="B6:F6" si="0">A6+1</f>
        <v>2</v>
      </c>
      <c r="C6" s="205">
        <f t="shared" si="0"/>
        <v>3</v>
      </c>
      <c r="D6" s="205">
        <f t="shared" si="0"/>
        <v>4</v>
      </c>
      <c r="E6" s="205">
        <f t="shared" si="0"/>
        <v>5</v>
      </c>
      <c r="F6" s="206">
        <f t="shared" si="0"/>
        <v>6</v>
      </c>
      <c r="G6" s="206">
        <f>F6+1</f>
        <v>7</v>
      </c>
    </row>
    <row r="7" spans="1:8" x14ac:dyDescent="0.25">
      <c r="A7" s="207">
        <v>1</v>
      </c>
      <c r="B7" s="208" t="s">
        <v>172</v>
      </c>
      <c r="C7" s="209">
        <f>2+('Исходные данные'!G11/MAX('Исходные данные'!$G$11:$G$27))</f>
        <v>2.1515151515151514</v>
      </c>
      <c r="D7" s="209">
        <f>2+('Исходные данные'!H11/MAX('Исходные данные'!$H$11:$H$27))</f>
        <v>3</v>
      </c>
      <c r="E7" s="210">
        <f>2+('Исходные данные'!I11/MAX('Исходные данные'!$I$11:$I$27))</f>
        <v>2.6075351678529395</v>
      </c>
      <c r="F7" s="211">
        <f>2+('Исходные данные'!J11/MIN('Исходные данные'!$J$11:$J$27))</f>
        <v>5</v>
      </c>
      <c r="G7" s="212">
        <f>(C7+D7+E7+F7)/4</f>
        <v>3.1897625798420228</v>
      </c>
      <c r="H7" s="14"/>
    </row>
    <row r="8" spans="1:8" x14ac:dyDescent="0.25">
      <c r="A8" s="207">
        <v>2</v>
      </c>
      <c r="B8" s="208" t="s">
        <v>173</v>
      </c>
      <c r="C8" s="209">
        <f>2+('Исходные данные'!G12/MAX('Исходные данные'!$G$11:$G$27))</f>
        <v>2.5555555555555554</v>
      </c>
      <c r="D8" s="209">
        <f>2+('Исходные данные'!H12/MAX('Исходные данные'!$H$11:$H$27))</f>
        <v>2.6666666666666665</v>
      </c>
      <c r="E8" s="210">
        <f>2+('Исходные данные'!I12/MAX('Исходные данные'!$I$11:$I$27))</f>
        <v>2.3114806927086251</v>
      </c>
      <c r="F8" s="211">
        <f>2+('Исходные данные'!J12/MIN('Исходные данные'!$J$11:$J$27))</f>
        <v>6</v>
      </c>
      <c r="G8" s="212">
        <f t="shared" ref="G8:G23" si="1">(C8+D8+E8+F8)/4</f>
        <v>3.3834257287327114</v>
      </c>
      <c r="H8" s="14"/>
    </row>
    <row r="9" spans="1:8" x14ac:dyDescent="0.25">
      <c r="A9" s="207">
        <v>3</v>
      </c>
      <c r="B9" s="208" t="s">
        <v>174</v>
      </c>
      <c r="C9" s="209">
        <f>2+('Исходные данные'!G13/MAX('Исходные данные'!$G$11:$G$27))</f>
        <v>2.4545454545454546</v>
      </c>
      <c r="D9" s="209">
        <f>2+('Исходные данные'!H13/MAX('Исходные данные'!$H$11:$H$27))</f>
        <v>2.6666666666666665</v>
      </c>
      <c r="E9" s="210">
        <f>2+('Исходные данные'!I13/MAX('Исходные данные'!$I$11:$I$27))</f>
        <v>2.4603766182816789</v>
      </c>
      <c r="F9" s="211">
        <f>2+('Исходные данные'!J13/MIN('Исходные данные'!$J$11:$J$27))</f>
        <v>10</v>
      </c>
      <c r="G9" s="212">
        <f t="shared" si="1"/>
        <v>4.3953971848734499</v>
      </c>
      <c r="H9" s="14"/>
    </row>
    <row r="10" spans="1:8" x14ac:dyDescent="0.25">
      <c r="A10" s="207">
        <v>4</v>
      </c>
      <c r="B10" s="208" t="s">
        <v>175</v>
      </c>
      <c r="C10" s="209">
        <f>2+('Исходные данные'!G14/MAX('Исходные данные'!$G$11:$G$27))</f>
        <v>2.2525252525252526</v>
      </c>
      <c r="D10" s="209">
        <f>2+('Исходные данные'!H14/MAX('Исходные данные'!$H$11:$H$27))</f>
        <v>3</v>
      </c>
      <c r="E10" s="210">
        <f>2+('Исходные данные'!I14/MAX('Исходные данные'!$I$11:$I$27))</f>
        <v>2.8301154514375386</v>
      </c>
      <c r="F10" s="211">
        <f>2+('Исходные данные'!J14/MIN('Исходные данные'!$J$11:$J$27))</f>
        <v>9</v>
      </c>
      <c r="G10" s="212">
        <f t="shared" si="1"/>
        <v>4.2706601759906979</v>
      </c>
      <c r="H10" s="14"/>
    </row>
    <row r="11" spans="1:8" x14ac:dyDescent="0.25">
      <c r="A11" s="207">
        <v>5</v>
      </c>
      <c r="B11" s="208" t="s">
        <v>176</v>
      </c>
      <c r="C11" s="209">
        <f>2+('Исходные данные'!G15/MAX('Исходные данные'!$G$11:$G$27))</f>
        <v>2.3535353535353534</v>
      </c>
      <c r="D11" s="209">
        <f>2+('Исходные данные'!H15/MAX('Исходные данные'!$H$11:$H$27))</f>
        <v>3</v>
      </c>
      <c r="E11" s="210">
        <f>2+('Исходные данные'!I15/MAX('Исходные данные'!$I$11:$I$27))</f>
        <v>2.7973855293392367</v>
      </c>
      <c r="F11" s="211">
        <f>2+('Исходные данные'!J15/MIN('Исходные данные'!$J$11:$J$27))</f>
        <v>7</v>
      </c>
      <c r="G11" s="212">
        <f t="shared" si="1"/>
        <v>3.7877302207186476</v>
      </c>
      <c r="H11" s="14"/>
    </row>
    <row r="12" spans="1:8" x14ac:dyDescent="0.25">
      <c r="A12" s="207">
        <v>6</v>
      </c>
      <c r="B12" s="208" t="s">
        <v>177</v>
      </c>
      <c r="C12" s="209">
        <f>2+('Исходные данные'!G16/MAX('Исходные данные'!$G$11:$G$27))</f>
        <v>3</v>
      </c>
      <c r="D12" s="209">
        <f>2+('Исходные данные'!H16/MAX('Исходные данные'!$H$11:$H$27))</f>
        <v>3</v>
      </c>
      <c r="E12" s="210">
        <f>2+('Исходные данные'!I16/MAX('Исходные данные'!$I$11:$I$27))</f>
        <v>2.654388275514207</v>
      </c>
      <c r="F12" s="211">
        <f>2+('Исходные данные'!J16/MIN('Исходные данные'!$J$11:$J$27))</f>
        <v>9</v>
      </c>
      <c r="G12" s="212">
        <f t="shared" si="1"/>
        <v>4.413597068878552</v>
      </c>
      <c r="H12" s="14"/>
    </row>
    <row r="13" spans="1:8" x14ac:dyDescent="0.25">
      <c r="A13" s="207">
        <v>7</v>
      </c>
      <c r="B13" s="208" t="s">
        <v>178</v>
      </c>
      <c r="C13" s="209">
        <f>2+('Исходные данные'!G17/MAX('Исходные данные'!$G$11:$G$27))</f>
        <v>2.1212121212121211</v>
      </c>
      <c r="D13" s="209">
        <f>2+('Исходные данные'!H17/MAX('Исходные данные'!$H$11:$H$27))</f>
        <v>2.8333333333333335</v>
      </c>
      <c r="E13" s="210">
        <f>2+('Исходные данные'!I17/MAX('Исходные данные'!$I$11:$I$27))</f>
        <v>2.4654346242223841</v>
      </c>
      <c r="F13" s="211">
        <f>2+('Исходные данные'!J17/MIN('Исходные данные'!$J$11:$J$27))</f>
        <v>6</v>
      </c>
      <c r="G13" s="212">
        <f t="shared" si="1"/>
        <v>3.3549950196919598</v>
      </c>
      <c r="H13" s="14"/>
    </row>
    <row r="14" spans="1:8" x14ac:dyDescent="0.25">
      <c r="A14" s="207">
        <v>8</v>
      </c>
      <c r="B14" s="208" t="s">
        <v>179</v>
      </c>
      <c r="C14" s="209">
        <f>2+('Исходные данные'!G18/MAX('Исходные данные'!$G$11:$G$27))</f>
        <v>2.3636363636363638</v>
      </c>
      <c r="D14" s="209">
        <f>2+('Исходные данные'!H18/MAX('Исходные данные'!$H$11:$H$27))</f>
        <v>2.5</v>
      </c>
      <c r="E14" s="210">
        <f>2+('Исходные данные'!I18/MAX('Исходные данные'!$I$11:$I$27))</f>
        <v>2.3596648545648153</v>
      </c>
      <c r="F14" s="211">
        <f>2+('Исходные данные'!J18/MIN('Исходные данные'!$J$11:$J$27))</f>
        <v>8</v>
      </c>
      <c r="G14" s="212">
        <f t="shared" si="1"/>
        <v>3.8058253045502948</v>
      </c>
      <c r="H14" s="14"/>
    </row>
    <row r="15" spans="1:8" x14ac:dyDescent="0.25">
      <c r="A15" s="207">
        <v>9</v>
      </c>
      <c r="B15" s="208" t="s">
        <v>180</v>
      </c>
      <c r="C15" s="209">
        <f>2+('Исходные данные'!G19/MAX('Исходные данные'!$G$11:$G$27))</f>
        <v>2.6464646464646466</v>
      </c>
      <c r="D15" s="209">
        <f>2+('Исходные данные'!H19/MAX('Исходные данные'!$H$11:$H$27))</f>
        <v>2.8333333333333335</v>
      </c>
      <c r="E15" s="210">
        <f>2+('Исходные данные'!I19/MAX('Исходные данные'!$I$11:$I$27))</f>
        <v>2.697402342655383</v>
      </c>
      <c r="F15" s="211">
        <f>2+('Исходные данные'!J19/MIN('Исходные данные'!$J$11:$J$27))</f>
        <v>9</v>
      </c>
      <c r="G15" s="212">
        <f t="shared" si="1"/>
        <v>4.2943000806133407</v>
      </c>
      <c r="H15" s="14"/>
    </row>
    <row r="16" spans="1:8" x14ac:dyDescent="0.25">
      <c r="A16" s="207">
        <v>10</v>
      </c>
      <c r="B16" s="208" t="s">
        <v>181</v>
      </c>
      <c r="C16" s="209">
        <f>2+('Исходные данные'!G20/MAX('Исходные данные'!$G$11:$G$27))</f>
        <v>2.4545454545454546</v>
      </c>
      <c r="D16" s="209">
        <f>2+('Исходные данные'!H20/MAX('Исходные данные'!$H$11:$H$27))</f>
        <v>2.6666666666666665</v>
      </c>
      <c r="E16" s="210">
        <f>2+('Исходные данные'!I20/MAX('Исходные данные'!$I$11:$I$27))</f>
        <v>2.3543686599787033</v>
      </c>
      <c r="F16" s="211">
        <f>2+('Исходные данные'!J20/MIN('Исходные данные'!$J$11:$J$27))</f>
        <v>10</v>
      </c>
      <c r="G16" s="212">
        <f t="shared" si="1"/>
        <v>4.3688951952977062</v>
      </c>
      <c r="H16" s="14"/>
    </row>
    <row r="17" spans="1:8" ht="31.5" x14ac:dyDescent="0.25">
      <c r="A17" s="207">
        <v>11</v>
      </c>
      <c r="B17" s="208" t="s">
        <v>182</v>
      </c>
      <c r="C17" s="209">
        <f>2+('Исходные данные'!G21/MAX('Исходные данные'!$G$11:$G$27))</f>
        <v>2.1616161616161618</v>
      </c>
      <c r="D17" s="209">
        <f>2+('Исходные данные'!H21/MAX('Исходные данные'!$H$11:$H$27))</f>
        <v>2.8333333333333335</v>
      </c>
      <c r="E17" s="210">
        <f>2+('Исходные данные'!I21/MAX('Исходные данные'!$I$11:$I$27))</f>
        <v>2.575113489883988</v>
      </c>
      <c r="F17" s="211">
        <f>2+('Исходные данные'!J21/MIN('Исходные данные'!$J$11:$J$27))</f>
        <v>6</v>
      </c>
      <c r="G17" s="212">
        <f t="shared" si="1"/>
        <v>3.3925157462083706</v>
      </c>
      <c r="H17" s="14"/>
    </row>
    <row r="18" spans="1:8" x14ac:dyDescent="0.25">
      <c r="A18" s="207">
        <v>12</v>
      </c>
      <c r="B18" s="208" t="s">
        <v>183</v>
      </c>
      <c r="C18" s="209">
        <f>2+('Исходные данные'!G22/MAX('Исходные данные'!$G$11:$G$27))</f>
        <v>2.0707070707070705</v>
      </c>
      <c r="D18" s="209">
        <f>2+('Исходные данные'!H22/MAX('Исходные данные'!$H$11:$H$27))</f>
        <v>2.1666666666666665</v>
      </c>
      <c r="E18" s="210">
        <f>2+('Исходные данные'!I22/MAX('Исходные данные'!$I$11:$I$27))</f>
        <v>2.171005436305554</v>
      </c>
      <c r="F18" s="211">
        <f>2+('Исходные данные'!J22/MIN('Исходные данные'!$J$11:$J$27))</f>
        <v>4</v>
      </c>
      <c r="G18" s="212">
        <f t="shared" si="1"/>
        <v>2.6020947934198229</v>
      </c>
    </row>
    <row r="19" spans="1:8" x14ac:dyDescent="0.25">
      <c r="A19" s="207">
        <v>13</v>
      </c>
      <c r="B19" s="208" t="s">
        <v>184</v>
      </c>
      <c r="C19" s="209">
        <f>2+('Исходные данные'!G23/MAX('Исходные данные'!$G$11:$G$27))</f>
        <v>2.1212121212121211</v>
      </c>
      <c r="D19" s="209">
        <f>2+('Исходные данные'!H23/MAX('Исходные данные'!$H$11:$H$27))</f>
        <v>2.5</v>
      </c>
      <c r="E19" s="210">
        <f>2+('Исходные данные'!I23/MAX('Исходные данные'!$I$11:$I$27))</f>
        <v>2.3438183040968448</v>
      </c>
      <c r="F19" s="211">
        <f>2+('Исходные данные'!J23/MIN('Исходные данные'!$J$11:$J$27))</f>
        <v>8</v>
      </c>
      <c r="G19" s="212">
        <f t="shared" si="1"/>
        <v>3.7412576063272414</v>
      </c>
    </row>
    <row r="20" spans="1:8" ht="31.5" x14ac:dyDescent="0.25">
      <c r="A20" s="207">
        <v>14</v>
      </c>
      <c r="B20" s="208" t="s">
        <v>185</v>
      </c>
      <c r="C20" s="209">
        <f>2+('Исходные данные'!G24/MAX('Исходные данные'!$G$11:$G$27))</f>
        <v>2.5252525252525251</v>
      </c>
      <c r="D20" s="209">
        <f>2+('Исходные данные'!H24/MAX('Исходные данные'!$H$11:$H$27))</f>
        <v>2.5</v>
      </c>
      <c r="E20" s="210">
        <f>2+('Исходные данные'!I24/MAX('Исходные данные'!$I$11:$I$27))</f>
        <v>3</v>
      </c>
      <c r="F20" s="211">
        <f>2+('Исходные данные'!J24/MIN('Исходные данные'!$J$11:$J$27))</f>
        <v>8</v>
      </c>
      <c r="G20" s="212">
        <f t="shared" si="1"/>
        <v>4.0063131313131315</v>
      </c>
    </row>
    <row r="21" spans="1:8" x14ac:dyDescent="0.25">
      <c r="A21" s="207">
        <v>15</v>
      </c>
      <c r="B21" s="208" t="s">
        <v>186</v>
      </c>
      <c r="C21" s="209">
        <f>2+('Исходные данные'!G25/MAX('Исходные данные'!$G$11:$G$27))</f>
        <v>2.2222222222222223</v>
      </c>
      <c r="D21" s="209">
        <f>2+('Исходные данные'!H25/MAX('Исходные данные'!$H$11:$H$27))</f>
        <v>2.8333333333333335</v>
      </c>
      <c r="E21" s="210">
        <f>2+('Исходные данные'!I25/MAX('Исходные данные'!$I$11:$I$27))</f>
        <v>2.3967382166676008</v>
      </c>
      <c r="F21" s="211">
        <f>2+('Исходные данные'!J25/MIN('Исходные данные'!$J$11:$J$27))</f>
        <v>9</v>
      </c>
      <c r="G21" s="212">
        <f t="shared" si="1"/>
        <v>4.1130734430557894</v>
      </c>
    </row>
    <row r="22" spans="1:8" x14ac:dyDescent="0.25">
      <c r="A22" s="207">
        <v>16</v>
      </c>
      <c r="B22" s="208" t="s">
        <v>187</v>
      </c>
      <c r="C22" s="209">
        <f>2+('Исходные данные'!G26/MAX('Исходные данные'!$G$11:$G$27))</f>
        <v>2.4545454545454546</v>
      </c>
      <c r="D22" s="209">
        <f>2+('Исходные данные'!H26/MAX('Исходные данные'!$H$11:$H$27))</f>
        <v>3</v>
      </c>
      <c r="E22" s="210">
        <f>2+('Исходные данные'!I26/MAX('Исходные данные'!$I$11:$I$27))</f>
        <v>2.8652692932802779</v>
      </c>
      <c r="F22" s="211">
        <f>2+('Исходные данные'!J26/MIN('Исходные данные'!$J$11:$J$27))</f>
        <v>9</v>
      </c>
      <c r="G22" s="212">
        <f t="shared" si="1"/>
        <v>4.3299536869564328</v>
      </c>
    </row>
    <row r="23" spans="1:8" x14ac:dyDescent="0.25">
      <c r="A23" s="207">
        <v>17</v>
      </c>
      <c r="B23" s="208" t="s">
        <v>188</v>
      </c>
      <c r="C23" s="209">
        <f>2+('Исходные данные'!G27/MAX('Исходные данные'!$G$11:$G$27))</f>
        <v>2</v>
      </c>
      <c r="D23" s="209">
        <f>2+('Исходные данные'!H27/MAX('Исходные данные'!$H$11:$H$27))</f>
        <v>2.1666666666666665</v>
      </c>
      <c r="E23" s="210">
        <f>2+('Исходные данные'!I27/MAX('Исходные данные'!$I$11:$I$27))</f>
        <v>2.0624894916774084</v>
      </c>
      <c r="F23" s="211">
        <f>2+('Исходные данные'!J27/MIN('Исходные данные'!$J$11:$J$27))</f>
        <v>3</v>
      </c>
      <c r="G23" s="212">
        <f t="shared" si="1"/>
        <v>2.3072890395860188</v>
      </c>
    </row>
    <row r="24" spans="1:8" x14ac:dyDescent="0.2">
      <c r="C24" s="172"/>
      <c r="D24" s="172"/>
      <c r="E24" s="172"/>
      <c r="F24" s="172"/>
      <c r="G24" s="172"/>
    </row>
    <row r="25" spans="1:8" ht="116.25" hidden="1" customHeight="1" x14ac:dyDescent="0.2">
      <c r="A25" s="260" t="s">
        <v>81</v>
      </c>
      <c r="B25" s="260"/>
      <c r="C25" s="260"/>
      <c r="D25" s="260"/>
      <c r="E25" s="260"/>
      <c r="F25" s="260"/>
      <c r="G25" s="260"/>
    </row>
  </sheetData>
  <sheetProtection selectLockedCells="1" selectUnlockedCells="1"/>
  <protectedRanges>
    <protectedRange sqref="B7:B23" name="Диапазон3_1"/>
    <protectedRange sqref="B7:B23" name="Диапазон2_1"/>
  </protectedRanges>
  <mergeCells count="4">
    <mergeCell ref="A2:G2"/>
    <mergeCell ref="A4:A5"/>
    <mergeCell ref="B4:B5"/>
    <mergeCell ref="A25:G25"/>
  </mergeCells>
  <pageMargins left="1.1811023622047245" right="0.27559055118110237" top="0.51181102362204722" bottom="0.74803149606299213" header="0.27559055118110237" footer="0.51181102362204722"/>
  <pageSetup paperSize="9" scale="82" firstPageNumber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S40"/>
  <sheetViews>
    <sheetView topLeftCell="BX7" zoomScale="80" zoomScaleNormal="80" zoomScaleSheetLayoutView="70" workbookViewId="0">
      <selection activeCell="GS19" sqref="GS19"/>
    </sheetView>
  </sheetViews>
  <sheetFormatPr defaultColWidth="15.28515625" defaultRowHeight="15.75" x14ac:dyDescent="0.2"/>
  <cols>
    <col min="1" max="1" width="34.7109375" style="1" customWidth="1"/>
    <col min="2" max="2" width="19.85546875" style="1" customWidth="1"/>
    <col min="3" max="3" width="12.140625" style="1" customWidth="1"/>
    <col min="4" max="4" width="17" style="1" customWidth="1"/>
    <col min="5" max="5" width="12.85546875" style="1" customWidth="1"/>
    <col min="6" max="6" width="17.42578125" style="1" customWidth="1"/>
    <col min="7" max="7" width="12.5703125" style="1" customWidth="1"/>
    <col min="8" max="8" width="18.42578125" style="1" customWidth="1"/>
    <col min="9" max="10" width="15.42578125" style="1" customWidth="1"/>
    <col min="11" max="11" width="18" style="1" customWidth="1"/>
    <col min="12" max="12" width="19.28515625" style="1" customWidth="1"/>
    <col min="13" max="13" width="14.42578125" style="1" customWidth="1"/>
    <col min="14" max="14" width="13.28515625" style="1" customWidth="1"/>
    <col min="15" max="15" width="16" style="1" customWidth="1"/>
    <col min="16" max="16" width="16.85546875" style="1" customWidth="1"/>
    <col min="17" max="17" width="16.7109375" style="1" customWidth="1"/>
    <col min="18" max="18" width="16.85546875" style="1" customWidth="1"/>
    <col min="19" max="19" width="13.7109375" style="1" customWidth="1"/>
    <col min="20" max="20" width="11.5703125" style="1" customWidth="1"/>
    <col min="21" max="21" width="15" style="1" customWidth="1"/>
    <col min="22" max="22" width="16.5703125" style="1" customWidth="1"/>
    <col min="23" max="23" width="16.28515625" style="1" customWidth="1"/>
    <col min="24" max="24" width="16.7109375" style="1" customWidth="1"/>
    <col min="25" max="25" width="14.85546875" style="1" customWidth="1"/>
    <col min="26" max="26" width="10.5703125" style="1" customWidth="1"/>
    <col min="27" max="27" width="14.85546875" style="1" customWidth="1"/>
    <col min="28" max="28" width="15.85546875" style="1" customWidth="1"/>
    <col min="29" max="29" width="16.28515625" style="1" customWidth="1"/>
    <col min="30" max="30" width="15.85546875" style="1" customWidth="1"/>
    <col min="31" max="31" width="13.140625" style="1" customWidth="1"/>
    <col min="32" max="32" width="11.28515625" style="1" customWidth="1"/>
    <col min="33" max="33" width="14.85546875" style="1" customWidth="1"/>
    <col min="34" max="34" width="18.85546875" style="1" customWidth="1"/>
    <col min="35" max="35" width="16.28515625" style="1" customWidth="1"/>
    <col min="36" max="36" width="14.5703125" style="1" customWidth="1"/>
    <col min="37" max="37" width="13.42578125" style="1" customWidth="1"/>
    <col min="38" max="39" width="11.140625" style="1" customWidth="1"/>
    <col min="40" max="40" width="16" style="1" customWidth="1"/>
    <col min="41" max="41" width="15.7109375" style="1" customWidth="1"/>
    <col min="42" max="42" width="13.5703125" style="1" customWidth="1"/>
    <col min="43" max="43" width="12.5703125" style="1" customWidth="1"/>
    <col min="44" max="44" width="10.28515625" style="1" customWidth="1"/>
    <col min="45" max="45" width="13.7109375" style="1" customWidth="1"/>
    <col min="46" max="46" width="16.5703125" style="1" customWidth="1"/>
    <col min="47" max="47" width="16.42578125" style="1" customWidth="1"/>
    <col min="48" max="48" width="15" style="1" customWidth="1"/>
    <col min="49" max="49" width="12.5703125" style="1" customWidth="1"/>
    <col min="50" max="50" width="9.42578125" style="1" customWidth="1"/>
    <col min="51" max="51" width="14.28515625" style="1" customWidth="1"/>
    <col min="52" max="52" width="16.85546875" style="1" customWidth="1"/>
    <col min="53" max="53" width="13.140625" style="1" customWidth="1"/>
    <col min="54" max="54" width="14.28515625" style="1" customWidth="1"/>
    <col min="55" max="55" width="11.5703125" style="1" customWidth="1"/>
    <col min="56" max="56" width="10.42578125" style="1" customWidth="1"/>
    <col min="57" max="57" width="11.85546875" style="1" customWidth="1"/>
    <col min="58" max="58" width="16.42578125" style="1" customWidth="1"/>
    <col min="59" max="59" width="15" style="1" customWidth="1"/>
    <col min="60" max="60" width="18.5703125" style="1" customWidth="1"/>
    <col min="61" max="61" width="11.28515625" style="1" customWidth="1"/>
    <col min="62" max="62" width="12.28515625" style="1" customWidth="1"/>
    <col min="63" max="63" width="13.5703125" style="1" customWidth="1"/>
    <col min="64" max="64" width="16.140625" style="1" customWidth="1"/>
    <col min="65" max="65" width="16.42578125" style="1" customWidth="1"/>
    <col min="66" max="66" width="18.140625" style="1" customWidth="1"/>
    <col min="67" max="67" width="12" style="1" customWidth="1"/>
    <col min="68" max="68" width="12.5703125" style="1" customWidth="1"/>
    <col min="69" max="69" width="15.42578125" style="1" customWidth="1"/>
    <col min="70" max="70" width="16.85546875" style="1" customWidth="1"/>
    <col min="71" max="71" width="15" style="1" customWidth="1"/>
    <col min="72" max="72" width="18.140625" style="1" customWidth="1"/>
    <col min="73" max="73" width="12" style="1" customWidth="1"/>
    <col min="74" max="74" width="12.5703125" style="1" customWidth="1"/>
    <col min="75" max="75" width="15.42578125" style="1" customWidth="1"/>
    <col min="76" max="76" width="16.85546875" style="1" customWidth="1"/>
    <col min="77" max="77" width="15" style="1" customWidth="1"/>
    <col min="78" max="78" width="19.7109375" style="1" customWidth="1"/>
    <col min="79" max="79" width="15.85546875" style="1" customWidth="1"/>
    <col min="80" max="81" width="15" style="1" customWidth="1"/>
    <col min="82" max="82" width="16.5703125" style="1" customWidth="1"/>
    <col min="83" max="83" width="15" style="1" customWidth="1"/>
    <col min="84" max="84" width="16.5703125" style="1" customWidth="1"/>
    <col min="85" max="87" width="15" style="1" customWidth="1"/>
    <col min="88" max="88" width="16.5703125" style="1" customWidth="1"/>
    <col min="89" max="89" width="15" style="1" customWidth="1"/>
    <col min="90" max="90" width="16.28515625" style="1" hidden="1" customWidth="1"/>
    <col min="91" max="93" width="15" style="1" hidden="1" customWidth="1"/>
    <col min="94" max="94" width="16.28515625" style="1" hidden="1" customWidth="1"/>
    <col min="95" max="95" width="15" style="1" hidden="1" customWidth="1"/>
    <col min="96" max="96" width="16.5703125" style="1" hidden="1" customWidth="1"/>
    <col min="97" max="99" width="15" style="1" hidden="1" customWidth="1"/>
    <col min="100" max="100" width="16" style="1" hidden="1" customWidth="1"/>
    <col min="101" max="101" width="15" style="1" hidden="1" customWidth="1"/>
    <col min="102" max="102" width="16" style="1" hidden="1" customWidth="1"/>
    <col min="103" max="105" width="15" style="1" hidden="1" customWidth="1"/>
    <col min="106" max="106" width="15.85546875" style="1" hidden="1" customWidth="1"/>
    <col min="107" max="107" width="15" style="1" hidden="1" customWidth="1"/>
    <col min="108" max="108" width="16" style="1" hidden="1" customWidth="1"/>
    <col min="109" max="111" width="15" style="1" hidden="1" customWidth="1"/>
    <col min="112" max="112" width="16.28515625" style="1" hidden="1" customWidth="1"/>
    <col min="113" max="113" width="15" style="1" hidden="1" customWidth="1"/>
    <col min="114" max="114" width="15.85546875" style="1" hidden="1" customWidth="1"/>
    <col min="115" max="117" width="15" style="1" hidden="1" customWidth="1"/>
    <col min="118" max="118" width="17" style="1" hidden="1" customWidth="1"/>
    <col min="119" max="119" width="15" style="1" hidden="1" customWidth="1"/>
    <col min="120" max="120" width="16.28515625" style="1" hidden="1" customWidth="1"/>
    <col min="121" max="123" width="15" style="1" hidden="1" customWidth="1"/>
    <col min="124" max="124" width="16" style="1" hidden="1" customWidth="1"/>
    <col min="125" max="129" width="15" style="1" hidden="1" customWidth="1"/>
    <col min="130" max="130" width="16.42578125" style="1" hidden="1" customWidth="1"/>
    <col min="131" max="135" width="15" style="1" hidden="1" customWidth="1"/>
    <col min="136" max="136" width="16.42578125" style="1" hidden="1" customWidth="1"/>
    <col min="137" max="141" width="15" style="1" hidden="1" customWidth="1"/>
    <col min="142" max="142" width="16.7109375" style="1" hidden="1" customWidth="1"/>
    <col min="143" max="147" width="15" style="1" hidden="1" customWidth="1"/>
    <col min="148" max="148" width="17.5703125" style="1" hidden="1" customWidth="1"/>
    <col min="149" max="153" width="15" style="1" hidden="1" customWidth="1"/>
    <col min="154" max="154" width="16.140625" style="1" hidden="1" customWidth="1"/>
    <col min="155" max="159" width="15" style="1" hidden="1" customWidth="1"/>
    <col min="160" max="160" width="16.42578125" style="1" hidden="1" customWidth="1"/>
    <col min="161" max="165" width="15" style="1" hidden="1" customWidth="1"/>
    <col min="166" max="166" width="16.85546875" style="1" hidden="1" customWidth="1"/>
    <col min="167" max="171" width="15" style="1" hidden="1" customWidth="1"/>
    <col min="172" max="172" width="16.85546875" style="1" hidden="1" customWidth="1"/>
    <col min="173" max="177" width="15" style="1" hidden="1" customWidth="1"/>
    <col min="178" max="178" width="16.42578125" style="1" hidden="1" customWidth="1"/>
    <col min="179" max="183" width="15" style="1" hidden="1" customWidth="1"/>
    <col min="184" max="184" width="17.140625" style="1" hidden="1" customWidth="1"/>
    <col min="185" max="189" width="15" style="1" hidden="1" customWidth="1"/>
    <col min="190" max="190" width="16.7109375" style="1" hidden="1" customWidth="1"/>
    <col min="191" max="195" width="15" style="1" hidden="1" customWidth="1"/>
    <col min="196" max="196" width="16.7109375" style="1" hidden="1" customWidth="1"/>
    <col min="197" max="197" width="15" style="1" hidden="1" customWidth="1"/>
    <col min="198" max="198" width="21.28515625" style="1" customWidth="1"/>
    <col min="199" max="199" width="20.5703125" style="1" customWidth="1"/>
    <col min="200" max="200" width="18.140625" style="1" customWidth="1"/>
    <col min="201" max="201" width="20.5703125" style="1" customWidth="1"/>
    <col min="202" max="16384" width="15.28515625" style="1"/>
  </cols>
  <sheetData>
    <row r="1" spans="1:201" s="5" customFormat="1" ht="48" customHeight="1" x14ac:dyDescent="0.2">
      <c r="A1" s="194"/>
      <c r="B1" s="264" t="s">
        <v>203</v>
      </c>
      <c r="C1" s="264"/>
      <c r="D1" s="264"/>
      <c r="E1" s="264"/>
      <c r="F1" s="264"/>
      <c r="G1" s="264"/>
      <c r="H1" s="264"/>
      <c r="I1" s="264"/>
      <c r="J1" s="264"/>
      <c r="K1" s="264"/>
      <c r="L1" s="264"/>
      <c r="M1" s="109"/>
      <c r="N1" s="109"/>
      <c r="O1" s="109"/>
      <c r="P1" s="109"/>
      <c r="Q1" s="109"/>
      <c r="R1" s="109"/>
      <c r="S1" s="109"/>
    </row>
    <row r="2" spans="1:201" s="5" customFormat="1" ht="16.5" thickBot="1" x14ac:dyDescent="0.25"/>
    <row r="3" spans="1:201" s="31" customFormat="1" ht="34.5" customHeight="1" thickBot="1" x14ac:dyDescent="0.25">
      <c r="A3" s="288" t="s">
        <v>7</v>
      </c>
      <c r="B3" s="291" t="s">
        <v>58</v>
      </c>
      <c r="C3" s="294" t="s">
        <v>9</v>
      </c>
      <c r="D3" s="295"/>
      <c r="E3" s="295"/>
      <c r="F3" s="296"/>
      <c r="G3" s="276" t="s">
        <v>59</v>
      </c>
      <c r="H3" s="277"/>
      <c r="I3" s="277"/>
      <c r="J3" s="278"/>
      <c r="K3" s="282" t="s">
        <v>78</v>
      </c>
      <c r="L3" s="62" t="s">
        <v>51</v>
      </c>
      <c r="M3" s="279" t="s">
        <v>75</v>
      </c>
      <c r="N3" s="280"/>
      <c r="O3" s="280"/>
      <c r="P3" s="280"/>
      <c r="Q3" s="280"/>
      <c r="R3" s="280"/>
      <c r="S3" s="280"/>
      <c r="T3" s="280"/>
      <c r="U3" s="280"/>
      <c r="V3" s="280"/>
      <c r="W3" s="280"/>
      <c r="X3" s="280"/>
      <c r="Y3" s="280"/>
      <c r="Z3" s="280"/>
      <c r="AA3" s="280"/>
      <c r="AB3" s="280"/>
      <c r="AC3" s="280"/>
      <c r="AD3" s="280"/>
      <c r="AE3" s="280"/>
      <c r="AF3" s="280"/>
      <c r="AG3" s="280"/>
      <c r="AH3" s="280"/>
      <c r="AI3" s="280"/>
      <c r="AJ3" s="280"/>
      <c r="AK3" s="280"/>
      <c r="AL3" s="280"/>
      <c r="AM3" s="280"/>
      <c r="AN3" s="280"/>
      <c r="AO3" s="280"/>
      <c r="AP3" s="280"/>
      <c r="AQ3" s="280"/>
      <c r="AR3" s="280"/>
      <c r="AS3" s="280"/>
      <c r="AT3" s="280"/>
      <c r="AU3" s="280"/>
      <c r="AV3" s="280"/>
      <c r="AW3" s="280"/>
      <c r="AX3" s="280"/>
      <c r="AY3" s="280"/>
      <c r="AZ3" s="280"/>
      <c r="BA3" s="280"/>
      <c r="BB3" s="280"/>
      <c r="BC3" s="280"/>
      <c r="BD3" s="280"/>
      <c r="BE3" s="280"/>
      <c r="BF3" s="280"/>
      <c r="BG3" s="280"/>
      <c r="BH3" s="280"/>
      <c r="BI3" s="280"/>
      <c r="BJ3" s="280"/>
      <c r="BK3" s="280"/>
      <c r="BL3" s="280"/>
      <c r="BM3" s="280"/>
      <c r="BN3" s="280"/>
      <c r="BO3" s="280"/>
      <c r="BP3" s="280"/>
      <c r="BQ3" s="280"/>
      <c r="BR3" s="280"/>
      <c r="BS3" s="281"/>
      <c r="BT3" s="111"/>
      <c r="BU3" s="111"/>
      <c r="BV3" s="111"/>
      <c r="BW3" s="111"/>
      <c r="BX3" s="111"/>
      <c r="BY3" s="111"/>
      <c r="BZ3" s="111"/>
      <c r="CA3" s="111"/>
      <c r="CB3" s="111"/>
      <c r="CC3" s="111"/>
      <c r="CD3" s="111"/>
      <c r="CE3" s="111"/>
      <c r="CF3" s="111"/>
      <c r="CG3" s="111"/>
      <c r="CH3" s="111"/>
      <c r="CI3" s="111"/>
      <c r="CJ3" s="111"/>
      <c r="CK3" s="111"/>
      <c r="CL3" s="111"/>
      <c r="CM3" s="111"/>
      <c r="CN3" s="111"/>
      <c r="CO3" s="111"/>
      <c r="CP3" s="111"/>
      <c r="CQ3" s="111"/>
      <c r="CR3" s="111"/>
      <c r="CS3" s="111"/>
      <c r="CT3" s="111"/>
      <c r="CU3" s="111"/>
      <c r="CV3" s="111"/>
      <c r="CW3" s="111"/>
      <c r="CX3" s="111"/>
      <c r="CY3" s="111"/>
      <c r="CZ3" s="111"/>
      <c r="DA3" s="111"/>
      <c r="DB3" s="111"/>
      <c r="DC3" s="111"/>
      <c r="DD3" s="111"/>
      <c r="DE3" s="111"/>
      <c r="DF3" s="111"/>
      <c r="DG3" s="111"/>
      <c r="DH3" s="111"/>
      <c r="DI3" s="111"/>
      <c r="DJ3" s="111"/>
      <c r="DK3" s="111"/>
      <c r="DL3" s="111"/>
      <c r="DM3" s="111"/>
      <c r="DN3" s="111"/>
      <c r="DO3" s="111"/>
      <c r="DP3" s="111"/>
      <c r="DQ3" s="111"/>
      <c r="DR3" s="111"/>
      <c r="DS3" s="111"/>
      <c r="DT3" s="111"/>
      <c r="DU3" s="111"/>
      <c r="DV3" s="111"/>
      <c r="DW3" s="111"/>
      <c r="DX3" s="111"/>
      <c r="DY3" s="111"/>
      <c r="DZ3" s="111"/>
      <c r="EA3" s="111"/>
      <c r="EB3" s="111"/>
      <c r="EC3" s="111"/>
      <c r="ED3" s="111"/>
      <c r="EE3" s="111"/>
      <c r="EF3" s="111"/>
      <c r="EG3" s="111"/>
      <c r="EH3" s="111"/>
      <c r="EI3" s="111"/>
      <c r="EJ3" s="111"/>
      <c r="EK3" s="111"/>
      <c r="EL3" s="111"/>
      <c r="EM3" s="111"/>
      <c r="EN3" s="111"/>
      <c r="EO3" s="111"/>
      <c r="EP3" s="111"/>
      <c r="EQ3" s="111"/>
      <c r="ER3" s="111"/>
      <c r="ES3" s="111"/>
      <c r="ET3" s="111"/>
      <c r="EU3" s="111"/>
      <c r="EV3" s="111"/>
      <c r="EW3" s="111"/>
      <c r="EX3" s="111"/>
      <c r="EY3" s="111"/>
      <c r="EZ3" s="111"/>
      <c r="FA3" s="111"/>
      <c r="FB3" s="111"/>
      <c r="FC3" s="111"/>
      <c r="FD3" s="111"/>
      <c r="FE3" s="111"/>
      <c r="FF3" s="111"/>
      <c r="FG3" s="111"/>
      <c r="FH3" s="111"/>
      <c r="FI3" s="111"/>
      <c r="FJ3" s="111"/>
      <c r="FK3" s="111"/>
      <c r="FL3" s="111"/>
      <c r="FM3" s="111"/>
      <c r="FN3" s="111"/>
      <c r="FO3" s="111"/>
      <c r="FP3" s="111"/>
      <c r="FQ3" s="111"/>
      <c r="FR3" s="111"/>
      <c r="FS3" s="111"/>
      <c r="FT3" s="111"/>
      <c r="FU3" s="111"/>
      <c r="FV3" s="111"/>
      <c r="FW3" s="111"/>
      <c r="FX3" s="111"/>
      <c r="FY3" s="111"/>
      <c r="FZ3" s="111"/>
      <c r="GA3" s="111"/>
      <c r="GB3" s="111"/>
      <c r="GC3" s="111"/>
      <c r="GD3" s="111"/>
      <c r="GE3" s="111"/>
      <c r="GF3" s="111"/>
      <c r="GG3" s="111"/>
      <c r="GH3" s="111"/>
      <c r="GI3" s="111"/>
      <c r="GJ3" s="111"/>
      <c r="GK3" s="111"/>
      <c r="GL3" s="111"/>
      <c r="GM3" s="111"/>
      <c r="GN3" s="111"/>
      <c r="GO3" s="111"/>
      <c r="GP3" s="299" t="s">
        <v>79</v>
      </c>
      <c r="GQ3" s="261" t="s">
        <v>80</v>
      </c>
      <c r="GR3" s="302" t="s">
        <v>77</v>
      </c>
      <c r="GS3" s="261" t="s">
        <v>219</v>
      </c>
    </row>
    <row r="4" spans="1:201" s="21" customFormat="1" ht="29.25" customHeight="1" x14ac:dyDescent="0.2">
      <c r="A4" s="289"/>
      <c r="B4" s="292"/>
      <c r="C4" s="268" t="s">
        <v>10</v>
      </c>
      <c r="D4" s="269"/>
      <c r="E4" s="268" t="s">
        <v>11</v>
      </c>
      <c r="F4" s="269"/>
      <c r="G4" s="270" t="s">
        <v>198</v>
      </c>
      <c r="H4" s="272" t="s">
        <v>12</v>
      </c>
      <c r="I4" s="272" t="s">
        <v>64</v>
      </c>
      <c r="J4" s="274" t="s">
        <v>67</v>
      </c>
      <c r="K4" s="283"/>
      <c r="L4" s="286" t="s">
        <v>200</v>
      </c>
      <c r="M4" s="265" t="s">
        <v>13</v>
      </c>
      <c r="N4" s="266"/>
      <c r="O4" s="266"/>
      <c r="P4" s="266"/>
      <c r="Q4" s="285"/>
      <c r="R4" s="265" t="s">
        <v>14</v>
      </c>
      <c r="S4" s="266"/>
      <c r="T4" s="266"/>
      <c r="U4" s="266"/>
      <c r="V4" s="266"/>
      <c r="W4" s="285"/>
      <c r="X4" s="265" t="s">
        <v>15</v>
      </c>
      <c r="Y4" s="266"/>
      <c r="Z4" s="266"/>
      <c r="AA4" s="266"/>
      <c r="AB4" s="266"/>
      <c r="AC4" s="285"/>
      <c r="AD4" s="265" t="s">
        <v>16</v>
      </c>
      <c r="AE4" s="266"/>
      <c r="AF4" s="266"/>
      <c r="AG4" s="266"/>
      <c r="AH4" s="266"/>
      <c r="AI4" s="285"/>
      <c r="AJ4" s="265" t="s">
        <v>17</v>
      </c>
      <c r="AK4" s="266"/>
      <c r="AL4" s="266"/>
      <c r="AM4" s="266"/>
      <c r="AN4" s="266"/>
      <c r="AO4" s="285"/>
      <c r="AP4" s="265" t="s">
        <v>18</v>
      </c>
      <c r="AQ4" s="266"/>
      <c r="AR4" s="266"/>
      <c r="AS4" s="266"/>
      <c r="AT4" s="266"/>
      <c r="AU4" s="285"/>
      <c r="AV4" s="265" t="s">
        <v>19</v>
      </c>
      <c r="AW4" s="266"/>
      <c r="AX4" s="266"/>
      <c r="AY4" s="266"/>
      <c r="AZ4" s="266"/>
      <c r="BA4" s="285"/>
      <c r="BB4" s="265" t="s">
        <v>20</v>
      </c>
      <c r="BC4" s="266"/>
      <c r="BD4" s="266"/>
      <c r="BE4" s="266"/>
      <c r="BF4" s="266"/>
      <c r="BG4" s="285"/>
      <c r="BH4" s="265" t="s">
        <v>21</v>
      </c>
      <c r="BI4" s="266"/>
      <c r="BJ4" s="266"/>
      <c r="BK4" s="266"/>
      <c r="BL4" s="266"/>
      <c r="BM4" s="285"/>
      <c r="BN4" s="265" t="s">
        <v>22</v>
      </c>
      <c r="BO4" s="266"/>
      <c r="BP4" s="266"/>
      <c r="BQ4" s="266"/>
      <c r="BR4" s="266"/>
      <c r="BS4" s="267"/>
      <c r="BT4" s="265" t="s">
        <v>83</v>
      </c>
      <c r="BU4" s="266"/>
      <c r="BV4" s="266"/>
      <c r="BW4" s="266"/>
      <c r="BX4" s="266"/>
      <c r="BY4" s="267"/>
      <c r="BZ4" s="265" t="s">
        <v>86</v>
      </c>
      <c r="CA4" s="266"/>
      <c r="CB4" s="266"/>
      <c r="CC4" s="266"/>
      <c r="CD4" s="266"/>
      <c r="CE4" s="267"/>
      <c r="CF4" s="265" t="s">
        <v>87</v>
      </c>
      <c r="CG4" s="266"/>
      <c r="CH4" s="266"/>
      <c r="CI4" s="266"/>
      <c r="CJ4" s="266"/>
      <c r="CK4" s="267"/>
      <c r="CL4" s="265" t="s">
        <v>92</v>
      </c>
      <c r="CM4" s="266"/>
      <c r="CN4" s="266"/>
      <c r="CO4" s="266"/>
      <c r="CP4" s="266"/>
      <c r="CQ4" s="267"/>
      <c r="CR4" s="265" t="s">
        <v>95</v>
      </c>
      <c r="CS4" s="266"/>
      <c r="CT4" s="266"/>
      <c r="CU4" s="266"/>
      <c r="CV4" s="266"/>
      <c r="CW4" s="267"/>
      <c r="CX4" s="265" t="s">
        <v>98</v>
      </c>
      <c r="CY4" s="266"/>
      <c r="CZ4" s="266"/>
      <c r="DA4" s="266"/>
      <c r="DB4" s="266"/>
      <c r="DC4" s="267"/>
      <c r="DD4" s="265" t="s">
        <v>101</v>
      </c>
      <c r="DE4" s="266"/>
      <c r="DF4" s="266"/>
      <c r="DG4" s="266"/>
      <c r="DH4" s="266"/>
      <c r="DI4" s="267"/>
      <c r="DJ4" s="265" t="s">
        <v>104</v>
      </c>
      <c r="DK4" s="266"/>
      <c r="DL4" s="266"/>
      <c r="DM4" s="266"/>
      <c r="DN4" s="266"/>
      <c r="DO4" s="267"/>
      <c r="DP4" s="265" t="s">
        <v>107</v>
      </c>
      <c r="DQ4" s="266"/>
      <c r="DR4" s="266"/>
      <c r="DS4" s="266"/>
      <c r="DT4" s="266"/>
      <c r="DU4" s="267"/>
      <c r="DV4" s="265" t="s">
        <v>110</v>
      </c>
      <c r="DW4" s="266"/>
      <c r="DX4" s="266"/>
      <c r="DY4" s="266"/>
      <c r="DZ4" s="266"/>
      <c r="EA4" s="267"/>
      <c r="EB4" s="265" t="s">
        <v>132</v>
      </c>
      <c r="EC4" s="266"/>
      <c r="ED4" s="266"/>
      <c r="EE4" s="266"/>
      <c r="EF4" s="266"/>
      <c r="EG4" s="267"/>
      <c r="EH4" s="265" t="s">
        <v>136</v>
      </c>
      <c r="EI4" s="266"/>
      <c r="EJ4" s="266"/>
      <c r="EK4" s="266"/>
      <c r="EL4" s="266"/>
      <c r="EM4" s="267"/>
      <c r="EN4" s="265" t="s">
        <v>140</v>
      </c>
      <c r="EO4" s="266"/>
      <c r="EP4" s="266"/>
      <c r="EQ4" s="266"/>
      <c r="ER4" s="266"/>
      <c r="ES4" s="267"/>
      <c r="ET4" s="265" t="s">
        <v>144</v>
      </c>
      <c r="EU4" s="266"/>
      <c r="EV4" s="266"/>
      <c r="EW4" s="266"/>
      <c r="EX4" s="266"/>
      <c r="EY4" s="267"/>
      <c r="EZ4" s="265" t="s">
        <v>148</v>
      </c>
      <c r="FA4" s="266"/>
      <c r="FB4" s="266"/>
      <c r="FC4" s="266"/>
      <c r="FD4" s="266"/>
      <c r="FE4" s="267"/>
      <c r="FF4" s="265" t="s">
        <v>152</v>
      </c>
      <c r="FG4" s="266"/>
      <c r="FH4" s="266"/>
      <c r="FI4" s="266"/>
      <c r="FJ4" s="266"/>
      <c r="FK4" s="267"/>
      <c r="FL4" s="265" t="s">
        <v>156</v>
      </c>
      <c r="FM4" s="266"/>
      <c r="FN4" s="266"/>
      <c r="FO4" s="266"/>
      <c r="FP4" s="266"/>
      <c r="FQ4" s="267"/>
      <c r="FR4" s="265" t="s">
        <v>160</v>
      </c>
      <c r="FS4" s="266"/>
      <c r="FT4" s="266"/>
      <c r="FU4" s="266"/>
      <c r="FV4" s="266"/>
      <c r="FW4" s="267"/>
      <c r="FX4" s="265" t="s">
        <v>164</v>
      </c>
      <c r="FY4" s="266"/>
      <c r="FZ4" s="266"/>
      <c r="GA4" s="266"/>
      <c r="GB4" s="266"/>
      <c r="GC4" s="267"/>
      <c r="GD4" s="265" t="s">
        <v>167</v>
      </c>
      <c r="GE4" s="266"/>
      <c r="GF4" s="266"/>
      <c r="GG4" s="266"/>
      <c r="GH4" s="266"/>
      <c r="GI4" s="267"/>
      <c r="GJ4" s="265" t="s">
        <v>167</v>
      </c>
      <c r="GK4" s="266"/>
      <c r="GL4" s="266"/>
      <c r="GM4" s="266"/>
      <c r="GN4" s="266"/>
      <c r="GO4" s="267"/>
      <c r="GP4" s="300"/>
      <c r="GQ4" s="262"/>
      <c r="GR4" s="303"/>
      <c r="GS4" s="262"/>
    </row>
    <row r="5" spans="1:201" s="21" customFormat="1" ht="246" customHeight="1" thickBot="1" x14ac:dyDescent="0.25">
      <c r="A5" s="289"/>
      <c r="B5" s="293"/>
      <c r="C5" s="297" t="s">
        <v>201</v>
      </c>
      <c r="D5" s="298"/>
      <c r="E5" s="297" t="s">
        <v>73</v>
      </c>
      <c r="F5" s="298"/>
      <c r="G5" s="271"/>
      <c r="H5" s="273"/>
      <c r="I5" s="273"/>
      <c r="J5" s="275"/>
      <c r="K5" s="284"/>
      <c r="L5" s="287"/>
      <c r="M5" s="59" t="s">
        <v>57</v>
      </c>
      <c r="N5" s="60" t="s">
        <v>122</v>
      </c>
      <c r="O5" s="60" t="s">
        <v>65</v>
      </c>
      <c r="P5" s="60" t="s">
        <v>76</v>
      </c>
      <c r="Q5" s="61" t="s">
        <v>23</v>
      </c>
      <c r="R5" s="59" t="s">
        <v>24</v>
      </c>
      <c r="S5" s="60" t="s">
        <v>123</v>
      </c>
      <c r="T5" s="60" t="s">
        <v>57</v>
      </c>
      <c r="U5" s="60" t="s">
        <v>65</v>
      </c>
      <c r="V5" s="60" t="s">
        <v>76</v>
      </c>
      <c r="W5" s="61" t="s">
        <v>25</v>
      </c>
      <c r="X5" s="59" t="s">
        <v>26</v>
      </c>
      <c r="Y5" s="60" t="s">
        <v>124</v>
      </c>
      <c r="Z5" s="60" t="s">
        <v>57</v>
      </c>
      <c r="AA5" s="60" t="s">
        <v>65</v>
      </c>
      <c r="AB5" s="60" t="s">
        <v>76</v>
      </c>
      <c r="AC5" s="61" t="s">
        <v>27</v>
      </c>
      <c r="AD5" s="59" t="s">
        <v>28</v>
      </c>
      <c r="AE5" s="60" t="s">
        <v>125</v>
      </c>
      <c r="AF5" s="60" t="s">
        <v>57</v>
      </c>
      <c r="AG5" s="60" t="s">
        <v>65</v>
      </c>
      <c r="AH5" s="60" t="s">
        <v>76</v>
      </c>
      <c r="AI5" s="61" t="s">
        <v>29</v>
      </c>
      <c r="AJ5" s="59" t="s">
        <v>30</v>
      </c>
      <c r="AK5" s="60" t="s">
        <v>126</v>
      </c>
      <c r="AL5" s="60" t="s">
        <v>57</v>
      </c>
      <c r="AM5" s="60" t="s">
        <v>65</v>
      </c>
      <c r="AN5" s="60" t="s">
        <v>76</v>
      </c>
      <c r="AO5" s="61" t="s">
        <v>31</v>
      </c>
      <c r="AP5" s="59" t="s">
        <v>32</v>
      </c>
      <c r="AQ5" s="60" t="s">
        <v>127</v>
      </c>
      <c r="AR5" s="60" t="s">
        <v>57</v>
      </c>
      <c r="AS5" s="60" t="s">
        <v>65</v>
      </c>
      <c r="AT5" s="60" t="s">
        <v>76</v>
      </c>
      <c r="AU5" s="61" t="s">
        <v>33</v>
      </c>
      <c r="AV5" s="59" t="s">
        <v>34</v>
      </c>
      <c r="AW5" s="60" t="s">
        <v>128</v>
      </c>
      <c r="AX5" s="60" t="s">
        <v>57</v>
      </c>
      <c r="AY5" s="60" t="s">
        <v>65</v>
      </c>
      <c r="AZ5" s="60" t="s">
        <v>76</v>
      </c>
      <c r="BA5" s="61" t="s">
        <v>35</v>
      </c>
      <c r="BB5" s="59" t="s">
        <v>36</v>
      </c>
      <c r="BC5" s="60" t="s">
        <v>129</v>
      </c>
      <c r="BD5" s="60" t="s">
        <v>57</v>
      </c>
      <c r="BE5" s="60" t="s">
        <v>65</v>
      </c>
      <c r="BF5" s="60" t="s">
        <v>76</v>
      </c>
      <c r="BG5" s="61" t="s">
        <v>37</v>
      </c>
      <c r="BH5" s="59" t="s">
        <v>38</v>
      </c>
      <c r="BI5" s="60" t="s">
        <v>130</v>
      </c>
      <c r="BJ5" s="60" t="s">
        <v>57</v>
      </c>
      <c r="BK5" s="60" t="s">
        <v>65</v>
      </c>
      <c r="BL5" s="60" t="s">
        <v>76</v>
      </c>
      <c r="BM5" s="61" t="s">
        <v>39</v>
      </c>
      <c r="BN5" s="59" t="s">
        <v>40</v>
      </c>
      <c r="BO5" s="60" t="s">
        <v>131</v>
      </c>
      <c r="BP5" s="60" t="s">
        <v>57</v>
      </c>
      <c r="BQ5" s="60" t="s">
        <v>65</v>
      </c>
      <c r="BR5" s="60" t="s">
        <v>76</v>
      </c>
      <c r="BS5" s="75" t="s">
        <v>41</v>
      </c>
      <c r="BT5" s="59" t="s">
        <v>84</v>
      </c>
      <c r="BU5" s="60" t="s">
        <v>113</v>
      </c>
      <c r="BV5" s="60" t="s">
        <v>57</v>
      </c>
      <c r="BW5" s="60" t="s">
        <v>65</v>
      </c>
      <c r="BX5" s="60" t="s">
        <v>76</v>
      </c>
      <c r="BY5" s="75" t="s">
        <v>85</v>
      </c>
      <c r="BZ5" s="59" t="s">
        <v>88</v>
      </c>
      <c r="CA5" s="60" t="s">
        <v>114</v>
      </c>
      <c r="CB5" s="60" t="s">
        <v>57</v>
      </c>
      <c r="CC5" s="60" t="s">
        <v>65</v>
      </c>
      <c r="CD5" s="60" t="s">
        <v>76</v>
      </c>
      <c r="CE5" s="75" t="s">
        <v>89</v>
      </c>
      <c r="CF5" s="59" t="s">
        <v>90</v>
      </c>
      <c r="CG5" s="60" t="s">
        <v>115</v>
      </c>
      <c r="CH5" s="60" t="s">
        <v>57</v>
      </c>
      <c r="CI5" s="60" t="s">
        <v>65</v>
      </c>
      <c r="CJ5" s="60" t="s">
        <v>76</v>
      </c>
      <c r="CK5" s="75" t="s">
        <v>91</v>
      </c>
      <c r="CL5" s="59" t="s">
        <v>93</v>
      </c>
      <c r="CM5" s="60" t="s">
        <v>116</v>
      </c>
      <c r="CN5" s="60" t="s">
        <v>57</v>
      </c>
      <c r="CO5" s="60" t="s">
        <v>65</v>
      </c>
      <c r="CP5" s="60" t="s">
        <v>76</v>
      </c>
      <c r="CQ5" s="75" t="s">
        <v>94</v>
      </c>
      <c r="CR5" s="59" t="s">
        <v>96</v>
      </c>
      <c r="CS5" s="60" t="s">
        <v>117</v>
      </c>
      <c r="CT5" s="60" t="s">
        <v>57</v>
      </c>
      <c r="CU5" s="60" t="s">
        <v>65</v>
      </c>
      <c r="CV5" s="60" t="s">
        <v>76</v>
      </c>
      <c r="CW5" s="75" t="s">
        <v>97</v>
      </c>
      <c r="CX5" s="59" t="s">
        <v>99</v>
      </c>
      <c r="CY5" s="60" t="s">
        <v>118</v>
      </c>
      <c r="CZ5" s="60" t="s">
        <v>57</v>
      </c>
      <c r="DA5" s="60" t="s">
        <v>65</v>
      </c>
      <c r="DB5" s="60" t="s">
        <v>76</v>
      </c>
      <c r="DC5" s="75" t="s">
        <v>100</v>
      </c>
      <c r="DD5" s="59" t="s">
        <v>102</v>
      </c>
      <c r="DE5" s="60" t="s">
        <v>119</v>
      </c>
      <c r="DF5" s="60" t="s">
        <v>57</v>
      </c>
      <c r="DG5" s="60" t="s">
        <v>65</v>
      </c>
      <c r="DH5" s="60" t="s">
        <v>76</v>
      </c>
      <c r="DI5" s="75" t="s">
        <v>103</v>
      </c>
      <c r="DJ5" s="59" t="s">
        <v>105</v>
      </c>
      <c r="DK5" s="60" t="s">
        <v>66</v>
      </c>
      <c r="DL5" s="60" t="s">
        <v>57</v>
      </c>
      <c r="DM5" s="60" t="s">
        <v>65</v>
      </c>
      <c r="DN5" s="60" t="s">
        <v>76</v>
      </c>
      <c r="DO5" s="75" t="s">
        <v>106</v>
      </c>
      <c r="DP5" s="59" t="s">
        <v>108</v>
      </c>
      <c r="DQ5" s="60" t="s">
        <v>120</v>
      </c>
      <c r="DR5" s="60" t="s">
        <v>57</v>
      </c>
      <c r="DS5" s="60" t="s">
        <v>65</v>
      </c>
      <c r="DT5" s="60" t="s">
        <v>76</v>
      </c>
      <c r="DU5" s="75" t="s">
        <v>109</v>
      </c>
      <c r="DV5" s="59" t="s">
        <v>112</v>
      </c>
      <c r="DW5" s="60" t="s">
        <v>121</v>
      </c>
      <c r="DX5" s="60" t="s">
        <v>57</v>
      </c>
      <c r="DY5" s="60" t="s">
        <v>65</v>
      </c>
      <c r="DZ5" s="60" t="s">
        <v>76</v>
      </c>
      <c r="EA5" s="75" t="s">
        <v>111</v>
      </c>
      <c r="EB5" s="59" t="s">
        <v>133</v>
      </c>
      <c r="EC5" s="60" t="s">
        <v>134</v>
      </c>
      <c r="ED5" s="60" t="s">
        <v>57</v>
      </c>
      <c r="EE5" s="60" t="s">
        <v>65</v>
      </c>
      <c r="EF5" s="60" t="s">
        <v>76</v>
      </c>
      <c r="EG5" s="75" t="s">
        <v>135</v>
      </c>
      <c r="EH5" s="59" t="s">
        <v>137</v>
      </c>
      <c r="EI5" s="60" t="s">
        <v>138</v>
      </c>
      <c r="EJ5" s="60" t="s">
        <v>57</v>
      </c>
      <c r="EK5" s="60" t="s">
        <v>65</v>
      </c>
      <c r="EL5" s="60" t="s">
        <v>76</v>
      </c>
      <c r="EM5" s="75" t="s">
        <v>139</v>
      </c>
      <c r="EN5" s="59" t="s">
        <v>141</v>
      </c>
      <c r="EO5" s="60" t="s">
        <v>142</v>
      </c>
      <c r="EP5" s="60" t="s">
        <v>57</v>
      </c>
      <c r="EQ5" s="60" t="s">
        <v>65</v>
      </c>
      <c r="ER5" s="60" t="s">
        <v>76</v>
      </c>
      <c r="ES5" s="75" t="s">
        <v>143</v>
      </c>
      <c r="ET5" s="59" t="s">
        <v>145</v>
      </c>
      <c r="EU5" s="60" t="s">
        <v>146</v>
      </c>
      <c r="EV5" s="60" t="s">
        <v>57</v>
      </c>
      <c r="EW5" s="60" t="s">
        <v>65</v>
      </c>
      <c r="EX5" s="60" t="s">
        <v>76</v>
      </c>
      <c r="EY5" s="75" t="s">
        <v>147</v>
      </c>
      <c r="EZ5" s="59" t="s">
        <v>149</v>
      </c>
      <c r="FA5" s="60" t="s">
        <v>150</v>
      </c>
      <c r="FB5" s="60" t="s">
        <v>57</v>
      </c>
      <c r="FC5" s="60" t="s">
        <v>65</v>
      </c>
      <c r="FD5" s="60" t="s">
        <v>76</v>
      </c>
      <c r="FE5" s="75" t="s">
        <v>151</v>
      </c>
      <c r="FF5" s="59" t="s">
        <v>153</v>
      </c>
      <c r="FG5" s="60" t="s">
        <v>154</v>
      </c>
      <c r="FH5" s="60" t="s">
        <v>57</v>
      </c>
      <c r="FI5" s="60" t="s">
        <v>65</v>
      </c>
      <c r="FJ5" s="60" t="s">
        <v>76</v>
      </c>
      <c r="FK5" s="75" t="s">
        <v>155</v>
      </c>
      <c r="FL5" s="59" t="s">
        <v>157</v>
      </c>
      <c r="FM5" s="60" t="s">
        <v>158</v>
      </c>
      <c r="FN5" s="60" t="s">
        <v>57</v>
      </c>
      <c r="FO5" s="60" t="s">
        <v>65</v>
      </c>
      <c r="FP5" s="60" t="s">
        <v>76</v>
      </c>
      <c r="FQ5" s="75" t="s">
        <v>159</v>
      </c>
      <c r="FR5" s="59" t="s">
        <v>161</v>
      </c>
      <c r="FS5" s="60" t="s">
        <v>162</v>
      </c>
      <c r="FT5" s="60" t="s">
        <v>57</v>
      </c>
      <c r="FU5" s="60" t="s">
        <v>65</v>
      </c>
      <c r="FV5" s="60" t="s">
        <v>76</v>
      </c>
      <c r="FW5" s="75" t="s">
        <v>163</v>
      </c>
      <c r="FX5" s="59" t="s">
        <v>165</v>
      </c>
      <c r="FY5" s="60" t="s">
        <v>169</v>
      </c>
      <c r="FZ5" s="60" t="s">
        <v>57</v>
      </c>
      <c r="GA5" s="60" t="s">
        <v>65</v>
      </c>
      <c r="GB5" s="60" t="s">
        <v>76</v>
      </c>
      <c r="GC5" s="75" t="s">
        <v>166</v>
      </c>
      <c r="GD5" s="59" t="s">
        <v>168</v>
      </c>
      <c r="GE5" s="60" t="s">
        <v>170</v>
      </c>
      <c r="GF5" s="60" t="s">
        <v>57</v>
      </c>
      <c r="GG5" s="60" t="s">
        <v>65</v>
      </c>
      <c r="GH5" s="60" t="s">
        <v>76</v>
      </c>
      <c r="GI5" s="75" t="s">
        <v>171</v>
      </c>
      <c r="GJ5" s="59" t="s">
        <v>168</v>
      </c>
      <c r="GK5" s="60" t="s">
        <v>170</v>
      </c>
      <c r="GL5" s="60" t="s">
        <v>57</v>
      </c>
      <c r="GM5" s="60" t="s">
        <v>65</v>
      </c>
      <c r="GN5" s="60" t="s">
        <v>76</v>
      </c>
      <c r="GO5" s="75" t="s">
        <v>171</v>
      </c>
      <c r="GP5" s="301"/>
      <c r="GQ5" s="263"/>
      <c r="GR5" s="304"/>
      <c r="GS5" s="263"/>
    </row>
    <row r="6" spans="1:201" s="21" customFormat="1" ht="19.5" thickBot="1" x14ac:dyDescent="0.25">
      <c r="A6" s="290"/>
      <c r="B6" s="91" t="s">
        <v>42</v>
      </c>
      <c r="C6" s="64" t="s">
        <v>43</v>
      </c>
      <c r="D6" s="65" t="s">
        <v>44</v>
      </c>
      <c r="E6" s="64" t="s">
        <v>45</v>
      </c>
      <c r="F6" s="65" t="s">
        <v>46</v>
      </c>
      <c r="G6" s="58" t="s">
        <v>1</v>
      </c>
      <c r="H6" s="57" t="s">
        <v>2</v>
      </c>
      <c r="I6" s="47" t="s">
        <v>71</v>
      </c>
      <c r="J6" s="98" t="s">
        <v>69</v>
      </c>
      <c r="K6" s="103" t="s">
        <v>47</v>
      </c>
      <c r="L6" s="63" t="s">
        <v>48</v>
      </c>
      <c r="M6" s="64" t="s">
        <v>47</v>
      </c>
      <c r="N6" s="57" t="s">
        <v>55</v>
      </c>
      <c r="O6" s="57" t="s">
        <v>54</v>
      </c>
      <c r="P6" s="57" t="s">
        <v>53</v>
      </c>
      <c r="Q6" s="65" t="s">
        <v>52</v>
      </c>
      <c r="R6" s="64" t="s">
        <v>46</v>
      </c>
      <c r="S6" s="57" t="s">
        <v>55</v>
      </c>
      <c r="T6" s="57" t="s">
        <v>47</v>
      </c>
      <c r="U6" s="57" t="s">
        <v>54</v>
      </c>
      <c r="V6" s="57" t="s">
        <v>53</v>
      </c>
      <c r="W6" s="65" t="s">
        <v>52</v>
      </c>
      <c r="X6" s="64" t="s">
        <v>46</v>
      </c>
      <c r="Y6" s="57" t="s">
        <v>55</v>
      </c>
      <c r="Z6" s="57" t="s">
        <v>47</v>
      </c>
      <c r="AA6" s="57" t="s">
        <v>54</v>
      </c>
      <c r="AB6" s="57" t="s">
        <v>53</v>
      </c>
      <c r="AC6" s="65" t="s">
        <v>52</v>
      </c>
      <c r="AD6" s="64" t="s">
        <v>46</v>
      </c>
      <c r="AE6" s="57" t="s">
        <v>55</v>
      </c>
      <c r="AF6" s="57" t="s">
        <v>47</v>
      </c>
      <c r="AG6" s="57" t="s">
        <v>54</v>
      </c>
      <c r="AH6" s="57" t="s">
        <v>53</v>
      </c>
      <c r="AI6" s="65" t="s">
        <v>52</v>
      </c>
      <c r="AJ6" s="64" t="s">
        <v>46</v>
      </c>
      <c r="AK6" s="57" t="s">
        <v>55</v>
      </c>
      <c r="AL6" s="57" t="s">
        <v>47</v>
      </c>
      <c r="AM6" s="57" t="s">
        <v>54</v>
      </c>
      <c r="AN6" s="57" t="s">
        <v>53</v>
      </c>
      <c r="AO6" s="65" t="s">
        <v>52</v>
      </c>
      <c r="AP6" s="64" t="s">
        <v>46</v>
      </c>
      <c r="AQ6" s="57" t="s">
        <v>55</v>
      </c>
      <c r="AR6" s="57" t="s">
        <v>47</v>
      </c>
      <c r="AS6" s="57" t="s">
        <v>54</v>
      </c>
      <c r="AT6" s="57" t="s">
        <v>53</v>
      </c>
      <c r="AU6" s="65" t="s">
        <v>52</v>
      </c>
      <c r="AV6" s="64" t="s">
        <v>46</v>
      </c>
      <c r="AW6" s="57" t="s">
        <v>55</v>
      </c>
      <c r="AX6" s="57" t="s">
        <v>47</v>
      </c>
      <c r="AY6" s="57" t="s">
        <v>54</v>
      </c>
      <c r="AZ6" s="57" t="s">
        <v>53</v>
      </c>
      <c r="BA6" s="65" t="s">
        <v>52</v>
      </c>
      <c r="BB6" s="64" t="s">
        <v>46</v>
      </c>
      <c r="BC6" s="57" t="s">
        <v>55</v>
      </c>
      <c r="BD6" s="57" t="s">
        <v>47</v>
      </c>
      <c r="BE6" s="57" t="s">
        <v>54</v>
      </c>
      <c r="BF6" s="57" t="s">
        <v>53</v>
      </c>
      <c r="BG6" s="65" t="s">
        <v>52</v>
      </c>
      <c r="BH6" s="64" t="s">
        <v>46</v>
      </c>
      <c r="BI6" s="57" t="s">
        <v>55</v>
      </c>
      <c r="BJ6" s="57" t="s">
        <v>47</v>
      </c>
      <c r="BK6" s="57" t="s">
        <v>54</v>
      </c>
      <c r="BL6" s="57" t="s">
        <v>53</v>
      </c>
      <c r="BM6" s="65" t="s">
        <v>52</v>
      </c>
      <c r="BN6" s="64" t="s">
        <v>46</v>
      </c>
      <c r="BO6" s="57" t="s">
        <v>55</v>
      </c>
      <c r="BP6" s="57" t="s">
        <v>47</v>
      </c>
      <c r="BQ6" s="57" t="s">
        <v>54</v>
      </c>
      <c r="BR6" s="57" t="s">
        <v>53</v>
      </c>
      <c r="BS6" s="98" t="s">
        <v>52</v>
      </c>
      <c r="BT6" s="64" t="s">
        <v>46</v>
      </c>
      <c r="BU6" s="57" t="s">
        <v>55</v>
      </c>
      <c r="BV6" s="57" t="s">
        <v>47</v>
      </c>
      <c r="BW6" s="57" t="s">
        <v>82</v>
      </c>
      <c r="BX6" s="57" t="s">
        <v>53</v>
      </c>
      <c r="BY6" s="98" t="s">
        <v>52</v>
      </c>
      <c r="BZ6" s="64" t="s">
        <v>46</v>
      </c>
      <c r="CA6" s="57" t="s">
        <v>55</v>
      </c>
      <c r="CB6" s="57" t="s">
        <v>47</v>
      </c>
      <c r="CC6" s="57" t="s">
        <v>82</v>
      </c>
      <c r="CD6" s="57" t="s">
        <v>53</v>
      </c>
      <c r="CE6" s="98" t="s">
        <v>52</v>
      </c>
      <c r="CF6" s="64" t="s">
        <v>46</v>
      </c>
      <c r="CG6" s="57" t="s">
        <v>55</v>
      </c>
      <c r="CH6" s="57" t="s">
        <v>47</v>
      </c>
      <c r="CI6" s="57" t="s">
        <v>82</v>
      </c>
      <c r="CJ6" s="57" t="s">
        <v>53</v>
      </c>
      <c r="CK6" s="98" t="s">
        <v>52</v>
      </c>
      <c r="CL6" s="64" t="s">
        <v>46</v>
      </c>
      <c r="CM6" s="57" t="s">
        <v>55</v>
      </c>
      <c r="CN6" s="57" t="s">
        <v>47</v>
      </c>
      <c r="CO6" s="57" t="s">
        <v>82</v>
      </c>
      <c r="CP6" s="57" t="s">
        <v>53</v>
      </c>
      <c r="CQ6" s="98" t="s">
        <v>52</v>
      </c>
      <c r="CR6" s="64" t="s">
        <v>46</v>
      </c>
      <c r="CS6" s="57" t="s">
        <v>55</v>
      </c>
      <c r="CT6" s="57" t="s">
        <v>47</v>
      </c>
      <c r="CU6" s="57" t="s">
        <v>82</v>
      </c>
      <c r="CV6" s="57" t="s">
        <v>53</v>
      </c>
      <c r="CW6" s="98" t="s">
        <v>52</v>
      </c>
      <c r="CX6" s="64" t="s">
        <v>46</v>
      </c>
      <c r="CY6" s="57" t="s">
        <v>55</v>
      </c>
      <c r="CZ6" s="57" t="s">
        <v>47</v>
      </c>
      <c r="DA6" s="57" t="s">
        <v>82</v>
      </c>
      <c r="DB6" s="57" t="s">
        <v>53</v>
      </c>
      <c r="DC6" s="98" t="s">
        <v>52</v>
      </c>
      <c r="DD6" s="64" t="s">
        <v>46</v>
      </c>
      <c r="DE6" s="57" t="s">
        <v>55</v>
      </c>
      <c r="DF6" s="57" t="s">
        <v>47</v>
      </c>
      <c r="DG6" s="57" t="s">
        <v>82</v>
      </c>
      <c r="DH6" s="57" t="s">
        <v>53</v>
      </c>
      <c r="DI6" s="98" t="s">
        <v>52</v>
      </c>
      <c r="DJ6" s="64" t="s">
        <v>46</v>
      </c>
      <c r="DK6" s="57" t="s">
        <v>55</v>
      </c>
      <c r="DL6" s="57" t="s">
        <v>47</v>
      </c>
      <c r="DM6" s="57" t="s">
        <v>82</v>
      </c>
      <c r="DN6" s="57" t="s">
        <v>53</v>
      </c>
      <c r="DO6" s="98" t="s">
        <v>52</v>
      </c>
      <c r="DP6" s="64" t="s">
        <v>46</v>
      </c>
      <c r="DQ6" s="57" t="s">
        <v>55</v>
      </c>
      <c r="DR6" s="57" t="s">
        <v>47</v>
      </c>
      <c r="DS6" s="57" t="s">
        <v>82</v>
      </c>
      <c r="DT6" s="57" t="s">
        <v>53</v>
      </c>
      <c r="DU6" s="98" t="s">
        <v>52</v>
      </c>
      <c r="DV6" s="64" t="s">
        <v>46</v>
      </c>
      <c r="DW6" s="57" t="s">
        <v>55</v>
      </c>
      <c r="DX6" s="57" t="s">
        <v>47</v>
      </c>
      <c r="DY6" s="57" t="s">
        <v>82</v>
      </c>
      <c r="DZ6" s="57" t="s">
        <v>53</v>
      </c>
      <c r="EA6" s="98" t="s">
        <v>52</v>
      </c>
      <c r="EB6" s="64" t="s">
        <v>46</v>
      </c>
      <c r="EC6" s="57" t="s">
        <v>55</v>
      </c>
      <c r="ED6" s="57" t="s">
        <v>47</v>
      </c>
      <c r="EE6" s="57" t="s">
        <v>82</v>
      </c>
      <c r="EF6" s="57" t="s">
        <v>53</v>
      </c>
      <c r="EG6" s="98" t="s">
        <v>52</v>
      </c>
      <c r="EH6" s="64" t="s">
        <v>46</v>
      </c>
      <c r="EI6" s="57" t="s">
        <v>55</v>
      </c>
      <c r="EJ6" s="57" t="s">
        <v>47</v>
      </c>
      <c r="EK6" s="57" t="s">
        <v>82</v>
      </c>
      <c r="EL6" s="57" t="s">
        <v>53</v>
      </c>
      <c r="EM6" s="98" t="s">
        <v>52</v>
      </c>
      <c r="EN6" s="64" t="s">
        <v>46</v>
      </c>
      <c r="EO6" s="57" t="s">
        <v>55</v>
      </c>
      <c r="EP6" s="57" t="s">
        <v>47</v>
      </c>
      <c r="EQ6" s="57" t="s">
        <v>82</v>
      </c>
      <c r="ER6" s="57" t="s">
        <v>53</v>
      </c>
      <c r="ES6" s="98" t="s">
        <v>52</v>
      </c>
      <c r="ET6" s="64" t="s">
        <v>46</v>
      </c>
      <c r="EU6" s="57" t="s">
        <v>55</v>
      </c>
      <c r="EV6" s="57" t="s">
        <v>47</v>
      </c>
      <c r="EW6" s="57" t="s">
        <v>82</v>
      </c>
      <c r="EX6" s="57" t="s">
        <v>53</v>
      </c>
      <c r="EY6" s="98" t="s">
        <v>52</v>
      </c>
      <c r="EZ6" s="64" t="s">
        <v>46</v>
      </c>
      <c r="FA6" s="57" t="s">
        <v>55</v>
      </c>
      <c r="FB6" s="57" t="s">
        <v>47</v>
      </c>
      <c r="FC6" s="57" t="s">
        <v>82</v>
      </c>
      <c r="FD6" s="57" t="s">
        <v>53</v>
      </c>
      <c r="FE6" s="98" t="s">
        <v>52</v>
      </c>
      <c r="FF6" s="64" t="s">
        <v>46</v>
      </c>
      <c r="FG6" s="57" t="s">
        <v>55</v>
      </c>
      <c r="FH6" s="57" t="s">
        <v>47</v>
      </c>
      <c r="FI6" s="57" t="s">
        <v>82</v>
      </c>
      <c r="FJ6" s="57" t="s">
        <v>53</v>
      </c>
      <c r="FK6" s="98" t="s">
        <v>52</v>
      </c>
      <c r="FL6" s="64" t="s">
        <v>46</v>
      </c>
      <c r="FM6" s="57" t="s">
        <v>55</v>
      </c>
      <c r="FN6" s="57" t="s">
        <v>47</v>
      </c>
      <c r="FO6" s="57" t="s">
        <v>82</v>
      </c>
      <c r="FP6" s="57" t="s">
        <v>53</v>
      </c>
      <c r="FQ6" s="98" t="s">
        <v>52</v>
      </c>
      <c r="FR6" s="64" t="s">
        <v>46</v>
      </c>
      <c r="FS6" s="57" t="s">
        <v>55</v>
      </c>
      <c r="FT6" s="57" t="s">
        <v>47</v>
      </c>
      <c r="FU6" s="57" t="s">
        <v>82</v>
      </c>
      <c r="FV6" s="57" t="s">
        <v>53</v>
      </c>
      <c r="FW6" s="98" t="s">
        <v>52</v>
      </c>
      <c r="FX6" s="64" t="s">
        <v>46</v>
      </c>
      <c r="FY6" s="57" t="s">
        <v>55</v>
      </c>
      <c r="FZ6" s="57" t="s">
        <v>47</v>
      </c>
      <c r="GA6" s="57" t="s">
        <v>82</v>
      </c>
      <c r="GB6" s="57" t="s">
        <v>53</v>
      </c>
      <c r="GC6" s="98" t="s">
        <v>52</v>
      </c>
      <c r="GD6" s="64" t="s">
        <v>46</v>
      </c>
      <c r="GE6" s="57" t="s">
        <v>55</v>
      </c>
      <c r="GF6" s="57" t="s">
        <v>47</v>
      </c>
      <c r="GG6" s="57" t="s">
        <v>82</v>
      </c>
      <c r="GH6" s="57" t="s">
        <v>53</v>
      </c>
      <c r="GI6" s="98" t="s">
        <v>52</v>
      </c>
      <c r="GJ6" s="64" t="s">
        <v>46</v>
      </c>
      <c r="GK6" s="57" t="s">
        <v>55</v>
      </c>
      <c r="GL6" s="57" t="s">
        <v>47</v>
      </c>
      <c r="GM6" s="57" t="s">
        <v>82</v>
      </c>
      <c r="GN6" s="57" t="s">
        <v>53</v>
      </c>
      <c r="GO6" s="98" t="s">
        <v>52</v>
      </c>
      <c r="GP6" s="145" t="s">
        <v>52</v>
      </c>
      <c r="GQ6" s="143" t="s">
        <v>60</v>
      </c>
      <c r="GR6" s="76" t="s">
        <v>74</v>
      </c>
      <c r="GS6" s="143" t="s">
        <v>60</v>
      </c>
    </row>
    <row r="7" spans="1:201" s="22" customFormat="1" thickBot="1" x14ac:dyDescent="0.25">
      <c r="A7" s="88">
        <v>1</v>
      </c>
      <c r="B7" s="92">
        <f t="shared" ref="B7:Y7" si="0">A7+1</f>
        <v>2</v>
      </c>
      <c r="C7" s="53">
        <f t="shared" si="0"/>
        <v>3</v>
      </c>
      <c r="D7" s="56">
        <f t="shared" si="0"/>
        <v>4</v>
      </c>
      <c r="E7" s="53">
        <f t="shared" si="0"/>
        <v>5</v>
      </c>
      <c r="F7" s="56">
        <f t="shared" si="0"/>
        <v>6</v>
      </c>
      <c r="G7" s="87">
        <f>F7+1</f>
        <v>7</v>
      </c>
      <c r="H7" s="54">
        <f t="shared" si="0"/>
        <v>8</v>
      </c>
      <c r="I7" s="54">
        <f t="shared" ref="I7:L7" si="1">H7+1</f>
        <v>9</v>
      </c>
      <c r="J7" s="99">
        <f>I7+1</f>
        <v>10</v>
      </c>
      <c r="K7" s="104">
        <f>J7+1</f>
        <v>11</v>
      </c>
      <c r="L7" s="55">
        <f t="shared" si="1"/>
        <v>12</v>
      </c>
      <c r="M7" s="53">
        <f>L7+1</f>
        <v>13</v>
      </c>
      <c r="N7" s="54">
        <f t="shared" si="0"/>
        <v>14</v>
      </c>
      <c r="O7" s="54">
        <f t="shared" si="0"/>
        <v>15</v>
      </c>
      <c r="P7" s="54">
        <f t="shared" si="0"/>
        <v>16</v>
      </c>
      <c r="Q7" s="56">
        <f t="shared" si="0"/>
        <v>17</v>
      </c>
      <c r="R7" s="53">
        <f t="shared" si="0"/>
        <v>18</v>
      </c>
      <c r="S7" s="54">
        <f t="shared" si="0"/>
        <v>19</v>
      </c>
      <c r="T7" s="54">
        <f>S7+1</f>
        <v>20</v>
      </c>
      <c r="U7" s="54">
        <f t="shared" si="0"/>
        <v>21</v>
      </c>
      <c r="V7" s="54">
        <f t="shared" si="0"/>
        <v>22</v>
      </c>
      <c r="W7" s="56">
        <f t="shared" si="0"/>
        <v>23</v>
      </c>
      <c r="X7" s="53">
        <f t="shared" si="0"/>
        <v>24</v>
      </c>
      <c r="Y7" s="54">
        <f t="shared" si="0"/>
        <v>25</v>
      </c>
      <c r="Z7" s="54">
        <f>Y7+1</f>
        <v>26</v>
      </c>
      <c r="AA7" s="54">
        <f t="shared" ref="AA7:AZ7" si="2">Z7+1</f>
        <v>27</v>
      </c>
      <c r="AB7" s="54">
        <f t="shared" si="2"/>
        <v>28</v>
      </c>
      <c r="AC7" s="56">
        <f t="shared" si="2"/>
        <v>29</v>
      </c>
      <c r="AD7" s="53">
        <f t="shared" si="2"/>
        <v>30</v>
      </c>
      <c r="AE7" s="54">
        <f t="shared" si="2"/>
        <v>31</v>
      </c>
      <c r="AF7" s="54">
        <f>AE7+1</f>
        <v>32</v>
      </c>
      <c r="AG7" s="54">
        <f t="shared" si="2"/>
        <v>33</v>
      </c>
      <c r="AH7" s="54">
        <f t="shared" si="2"/>
        <v>34</v>
      </c>
      <c r="AI7" s="56">
        <f t="shared" si="2"/>
        <v>35</v>
      </c>
      <c r="AJ7" s="53">
        <f t="shared" si="2"/>
        <v>36</v>
      </c>
      <c r="AK7" s="54">
        <f t="shared" si="2"/>
        <v>37</v>
      </c>
      <c r="AL7" s="54">
        <f>AK7+1</f>
        <v>38</v>
      </c>
      <c r="AM7" s="54">
        <f t="shared" si="2"/>
        <v>39</v>
      </c>
      <c r="AN7" s="54">
        <f t="shared" si="2"/>
        <v>40</v>
      </c>
      <c r="AO7" s="56">
        <f t="shared" si="2"/>
        <v>41</v>
      </c>
      <c r="AP7" s="53">
        <f t="shared" si="2"/>
        <v>42</v>
      </c>
      <c r="AQ7" s="54">
        <f t="shared" si="2"/>
        <v>43</v>
      </c>
      <c r="AR7" s="54">
        <f>AQ7+1</f>
        <v>44</v>
      </c>
      <c r="AS7" s="54">
        <f t="shared" si="2"/>
        <v>45</v>
      </c>
      <c r="AT7" s="54">
        <f t="shared" si="2"/>
        <v>46</v>
      </c>
      <c r="AU7" s="56">
        <f t="shared" si="2"/>
        <v>47</v>
      </c>
      <c r="AV7" s="53">
        <f t="shared" si="2"/>
        <v>48</v>
      </c>
      <c r="AW7" s="54">
        <f t="shared" si="2"/>
        <v>49</v>
      </c>
      <c r="AX7" s="54">
        <f>AW7+1</f>
        <v>50</v>
      </c>
      <c r="AY7" s="54">
        <f t="shared" si="2"/>
        <v>51</v>
      </c>
      <c r="AZ7" s="54">
        <f t="shared" si="2"/>
        <v>52</v>
      </c>
      <c r="BA7" s="56">
        <f t="shared" ref="BA7:BS7" si="3">AZ7+1</f>
        <v>53</v>
      </c>
      <c r="BB7" s="53">
        <f t="shared" si="3"/>
        <v>54</v>
      </c>
      <c r="BC7" s="54">
        <f t="shared" si="3"/>
        <v>55</v>
      </c>
      <c r="BD7" s="54">
        <f>BC7+1</f>
        <v>56</v>
      </c>
      <c r="BE7" s="54">
        <f t="shared" si="3"/>
        <v>57</v>
      </c>
      <c r="BF7" s="54">
        <f t="shared" si="3"/>
        <v>58</v>
      </c>
      <c r="BG7" s="56">
        <f t="shared" si="3"/>
        <v>59</v>
      </c>
      <c r="BH7" s="53">
        <f t="shared" si="3"/>
        <v>60</v>
      </c>
      <c r="BI7" s="54">
        <f t="shared" si="3"/>
        <v>61</v>
      </c>
      <c r="BJ7" s="54">
        <f>BI7+1</f>
        <v>62</v>
      </c>
      <c r="BK7" s="54">
        <f t="shared" si="3"/>
        <v>63</v>
      </c>
      <c r="BL7" s="54">
        <f t="shared" si="3"/>
        <v>64</v>
      </c>
      <c r="BM7" s="56">
        <f t="shared" si="3"/>
        <v>65</v>
      </c>
      <c r="BN7" s="53">
        <f t="shared" si="3"/>
        <v>66</v>
      </c>
      <c r="BO7" s="54">
        <f t="shared" si="3"/>
        <v>67</v>
      </c>
      <c r="BP7" s="54">
        <f>BO7+1</f>
        <v>68</v>
      </c>
      <c r="BQ7" s="54">
        <f t="shared" si="3"/>
        <v>69</v>
      </c>
      <c r="BR7" s="54">
        <f t="shared" si="3"/>
        <v>70</v>
      </c>
      <c r="BS7" s="99">
        <f t="shared" si="3"/>
        <v>71</v>
      </c>
      <c r="BT7" s="53">
        <f t="shared" ref="BT7" si="4">BS7+1</f>
        <v>72</v>
      </c>
      <c r="BU7" s="54">
        <f t="shared" ref="BU7" si="5">BT7+1</f>
        <v>73</v>
      </c>
      <c r="BV7" s="54">
        <f>BU7+1</f>
        <v>74</v>
      </c>
      <c r="BW7" s="54">
        <f t="shared" ref="BW7" si="6">BV7+1</f>
        <v>75</v>
      </c>
      <c r="BX7" s="54">
        <f t="shared" ref="BX7" si="7">BW7+1</f>
        <v>76</v>
      </c>
      <c r="BY7" s="99">
        <f t="shared" ref="BY7" si="8">BX7+1</f>
        <v>77</v>
      </c>
      <c r="BZ7" s="53">
        <f t="shared" ref="BZ7" si="9">BY7+1</f>
        <v>78</v>
      </c>
      <c r="CA7" s="54">
        <f t="shared" ref="CA7" si="10">BZ7+1</f>
        <v>79</v>
      </c>
      <c r="CB7" s="54">
        <f>CA7+1</f>
        <v>80</v>
      </c>
      <c r="CC7" s="54">
        <f t="shared" ref="CC7" si="11">CB7+1</f>
        <v>81</v>
      </c>
      <c r="CD7" s="54">
        <f t="shared" ref="CD7" si="12">CC7+1</f>
        <v>82</v>
      </c>
      <c r="CE7" s="99">
        <f t="shared" ref="CE7" si="13">CD7+1</f>
        <v>83</v>
      </c>
      <c r="CF7" s="53">
        <f t="shared" ref="CF7" si="14">CE7+1</f>
        <v>84</v>
      </c>
      <c r="CG7" s="54">
        <f t="shared" ref="CG7" si="15">CF7+1</f>
        <v>85</v>
      </c>
      <c r="CH7" s="54">
        <f>CG7+1</f>
        <v>86</v>
      </c>
      <c r="CI7" s="54">
        <f t="shared" ref="CI7" si="16">CH7+1</f>
        <v>87</v>
      </c>
      <c r="CJ7" s="54">
        <f t="shared" ref="CJ7" si="17">CI7+1</f>
        <v>88</v>
      </c>
      <c r="CK7" s="99">
        <f t="shared" ref="CK7" si="18">CJ7+1</f>
        <v>89</v>
      </c>
      <c r="CL7" s="53">
        <f t="shared" ref="CL7" si="19">CK7+1</f>
        <v>90</v>
      </c>
      <c r="CM7" s="54">
        <f t="shared" ref="CM7" si="20">CL7+1</f>
        <v>91</v>
      </c>
      <c r="CN7" s="54">
        <f>CM7+1</f>
        <v>92</v>
      </c>
      <c r="CO7" s="54">
        <f t="shared" ref="CO7" si="21">CN7+1</f>
        <v>93</v>
      </c>
      <c r="CP7" s="54">
        <f t="shared" ref="CP7" si="22">CO7+1</f>
        <v>94</v>
      </c>
      <c r="CQ7" s="99">
        <f t="shared" ref="CQ7" si="23">CP7+1</f>
        <v>95</v>
      </c>
      <c r="CR7" s="53">
        <f t="shared" ref="CR7" si="24">CQ7+1</f>
        <v>96</v>
      </c>
      <c r="CS7" s="54">
        <f t="shared" ref="CS7" si="25">CR7+1</f>
        <v>97</v>
      </c>
      <c r="CT7" s="54">
        <f>CS7+1</f>
        <v>98</v>
      </c>
      <c r="CU7" s="54">
        <f t="shared" ref="CU7" si="26">CT7+1</f>
        <v>99</v>
      </c>
      <c r="CV7" s="54">
        <f t="shared" ref="CV7" si="27">CU7+1</f>
        <v>100</v>
      </c>
      <c r="CW7" s="99">
        <f t="shared" ref="CW7" si="28">CV7+1</f>
        <v>101</v>
      </c>
      <c r="CX7" s="53">
        <f t="shared" ref="CX7" si="29">CW7+1</f>
        <v>102</v>
      </c>
      <c r="CY7" s="54">
        <f t="shared" ref="CY7" si="30">CX7+1</f>
        <v>103</v>
      </c>
      <c r="CZ7" s="54">
        <f>CY7+1</f>
        <v>104</v>
      </c>
      <c r="DA7" s="54">
        <f t="shared" ref="DA7" si="31">CZ7+1</f>
        <v>105</v>
      </c>
      <c r="DB7" s="54">
        <f t="shared" ref="DB7" si="32">DA7+1</f>
        <v>106</v>
      </c>
      <c r="DC7" s="99">
        <f t="shared" ref="DC7" si="33">DB7+1</f>
        <v>107</v>
      </c>
      <c r="DD7" s="53">
        <f t="shared" ref="DD7" si="34">DC7+1</f>
        <v>108</v>
      </c>
      <c r="DE7" s="54">
        <f t="shared" ref="DE7" si="35">DD7+1</f>
        <v>109</v>
      </c>
      <c r="DF7" s="54">
        <f>DE7+1</f>
        <v>110</v>
      </c>
      <c r="DG7" s="54">
        <f t="shared" ref="DG7" si="36">DF7+1</f>
        <v>111</v>
      </c>
      <c r="DH7" s="54">
        <f t="shared" ref="DH7" si="37">DG7+1</f>
        <v>112</v>
      </c>
      <c r="DI7" s="99">
        <f t="shared" ref="DI7" si="38">DH7+1</f>
        <v>113</v>
      </c>
      <c r="DJ7" s="53">
        <f t="shared" ref="DJ7" si="39">DI7+1</f>
        <v>114</v>
      </c>
      <c r="DK7" s="54">
        <f t="shared" ref="DK7" si="40">DJ7+1</f>
        <v>115</v>
      </c>
      <c r="DL7" s="54">
        <f>DK7+1</f>
        <v>116</v>
      </c>
      <c r="DM7" s="54">
        <f t="shared" ref="DM7" si="41">DL7+1</f>
        <v>117</v>
      </c>
      <c r="DN7" s="54">
        <f t="shared" ref="DN7" si="42">DM7+1</f>
        <v>118</v>
      </c>
      <c r="DO7" s="99">
        <f t="shared" ref="DO7" si="43">DN7+1</f>
        <v>119</v>
      </c>
      <c r="DP7" s="53">
        <f t="shared" ref="DP7" si="44">DO7+1</f>
        <v>120</v>
      </c>
      <c r="DQ7" s="54">
        <f t="shared" ref="DQ7" si="45">DP7+1</f>
        <v>121</v>
      </c>
      <c r="DR7" s="54">
        <f>DQ7+1</f>
        <v>122</v>
      </c>
      <c r="DS7" s="54">
        <f t="shared" ref="DS7" si="46">DR7+1</f>
        <v>123</v>
      </c>
      <c r="DT7" s="54">
        <f t="shared" ref="DT7" si="47">DS7+1</f>
        <v>124</v>
      </c>
      <c r="DU7" s="99">
        <f t="shared" ref="DU7" si="48">DT7+1</f>
        <v>125</v>
      </c>
      <c r="DV7" s="53">
        <f t="shared" ref="DV7" si="49">DU7+1</f>
        <v>126</v>
      </c>
      <c r="DW7" s="54">
        <f t="shared" ref="DW7" si="50">DV7+1</f>
        <v>127</v>
      </c>
      <c r="DX7" s="54">
        <f>DW7+1</f>
        <v>128</v>
      </c>
      <c r="DY7" s="54">
        <f t="shared" ref="DY7" si="51">DX7+1</f>
        <v>129</v>
      </c>
      <c r="DZ7" s="54">
        <f t="shared" ref="DZ7" si="52">DY7+1</f>
        <v>130</v>
      </c>
      <c r="EA7" s="99">
        <f t="shared" ref="EA7" si="53">DZ7+1</f>
        <v>131</v>
      </c>
      <c r="EB7" s="53">
        <f t="shared" ref="EB7" si="54">EA7+1</f>
        <v>132</v>
      </c>
      <c r="EC7" s="54">
        <f t="shared" ref="EC7" si="55">EB7+1</f>
        <v>133</v>
      </c>
      <c r="ED7" s="54">
        <f>EC7+1</f>
        <v>134</v>
      </c>
      <c r="EE7" s="54">
        <f t="shared" ref="EE7" si="56">ED7+1</f>
        <v>135</v>
      </c>
      <c r="EF7" s="54">
        <f t="shared" ref="EF7" si="57">EE7+1</f>
        <v>136</v>
      </c>
      <c r="EG7" s="99">
        <f t="shared" ref="EG7" si="58">EF7+1</f>
        <v>137</v>
      </c>
      <c r="EH7" s="53">
        <f t="shared" ref="EH7" si="59">EG7+1</f>
        <v>138</v>
      </c>
      <c r="EI7" s="54">
        <f t="shared" ref="EI7" si="60">EH7+1</f>
        <v>139</v>
      </c>
      <c r="EJ7" s="54">
        <f>EI7+1</f>
        <v>140</v>
      </c>
      <c r="EK7" s="54">
        <f t="shared" ref="EK7" si="61">EJ7+1</f>
        <v>141</v>
      </c>
      <c r="EL7" s="54">
        <f t="shared" ref="EL7" si="62">EK7+1</f>
        <v>142</v>
      </c>
      <c r="EM7" s="99">
        <f t="shared" ref="EM7" si="63">EL7+1</f>
        <v>143</v>
      </c>
      <c r="EN7" s="53">
        <f t="shared" ref="EN7" si="64">EM7+1</f>
        <v>144</v>
      </c>
      <c r="EO7" s="54">
        <f t="shared" ref="EO7" si="65">EN7+1</f>
        <v>145</v>
      </c>
      <c r="EP7" s="54">
        <f>EO7+1</f>
        <v>146</v>
      </c>
      <c r="EQ7" s="54">
        <f t="shared" ref="EQ7" si="66">EP7+1</f>
        <v>147</v>
      </c>
      <c r="ER7" s="54">
        <f t="shared" ref="ER7" si="67">EQ7+1</f>
        <v>148</v>
      </c>
      <c r="ES7" s="99">
        <f t="shared" ref="ES7" si="68">ER7+1</f>
        <v>149</v>
      </c>
      <c r="ET7" s="53">
        <f t="shared" ref="ET7" si="69">ES7+1</f>
        <v>150</v>
      </c>
      <c r="EU7" s="54">
        <f t="shared" ref="EU7" si="70">ET7+1</f>
        <v>151</v>
      </c>
      <c r="EV7" s="54">
        <f>EU7+1</f>
        <v>152</v>
      </c>
      <c r="EW7" s="54">
        <f t="shared" ref="EW7" si="71">EV7+1</f>
        <v>153</v>
      </c>
      <c r="EX7" s="54">
        <f t="shared" ref="EX7" si="72">EW7+1</f>
        <v>154</v>
      </c>
      <c r="EY7" s="99">
        <f t="shared" ref="EY7" si="73">EX7+1</f>
        <v>155</v>
      </c>
      <c r="EZ7" s="53">
        <f t="shared" ref="EZ7" si="74">EY7+1</f>
        <v>156</v>
      </c>
      <c r="FA7" s="54">
        <f t="shared" ref="FA7" si="75">EZ7+1</f>
        <v>157</v>
      </c>
      <c r="FB7" s="54">
        <f>FA7+1</f>
        <v>158</v>
      </c>
      <c r="FC7" s="54">
        <f t="shared" ref="FC7" si="76">FB7+1</f>
        <v>159</v>
      </c>
      <c r="FD7" s="54">
        <f t="shared" ref="FD7" si="77">FC7+1</f>
        <v>160</v>
      </c>
      <c r="FE7" s="99">
        <f t="shared" ref="FE7" si="78">FD7+1</f>
        <v>161</v>
      </c>
      <c r="FF7" s="53">
        <f t="shared" ref="FF7" si="79">FE7+1</f>
        <v>162</v>
      </c>
      <c r="FG7" s="54">
        <f t="shared" ref="FG7" si="80">FF7+1</f>
        <v>163</v>
      </c>
      <c r="FH7" s="54">
        <f>FG7+1</f>
        <v>164</v>
      </c>
      <c r="FI7" s="54">
        <f t="shared" ref="FI7" si="81">FH7+1</f>
        <v>165</v>
      </c>
      <c r="FJ7" s="54">
        <f t="shared" ref="FJ7" si="82">FI7+1</f>
        <v>166</v>
      </c>
      <c r="FK7" s="99">
        <f t="shared" ref="FK7" si="83">FJ7+1</f>
        <v>167</v>
      </c>
      <c r="FL7" s="53">
        <f t="shared" ref="FL7" si="84">FK7+1</f>
        <v>168</v>
      </c>
      <c r="FM7" s="54">
        <f t="shared" ref="FM7" si="85">FL7+1</f>
        <v>169</v>
      </c>
      <c r="FN7" s="54">
        <f>FM7+1</f>
        <v>170</v>
      </c>
      <c r="FO7" s="54">
        <f t="shared" ref="FO7" si="86">FN7+1</f>
        <v>171</v>
      </c>
      <c r="FP7" s="54">
        <f t="shared" ref="FP7" si="87">FO7+1</f>
        <v>172</v>
      </c>
      <c r="FQ7" s="99">
        <f t="shared" ref="FQ7" si="88">FP7+1</f>
        <v>173</v>
      </c>
      <c r="FR7" s="53">
        <f t="shared" ref="FR7" si="89">FQ7+1</f>
        <v>174</v>
      </c>
      <c r="FS7" s="54">
        <f t="shared" ref="FS7" si="90">FR7+1</f>
        <v>175</v>
      </c>
      <c r="FT7" s="54">
        <f>FS7+1</f>
        <v>176</v>
      </c>
      <c r="FU7" s="54">
        <f t="shared" ref="FU7" si="91">FT7+1</f>
        <v>177</v>
      </c>
      <c r="FV7" s="54">
        <f t="shared" ref="FV7" si="92">FU7+1</f>
        <v>178</v>
      </c>
      <c r="FW7" s="99">
        <f t="shared" ref="FW7" si="93">FV7+1</f>
        <v>179</v>
      </c>
      <c r="FX7" s="53">
        <f t="shared" ref="FX7" si="94">FW7+1</f>
        <v>180</v>
      </c>
      <c r="FY7" s="54">
        <f t="shared" ref="FY7" si="95">FX7+1</f>
        <v>181</v>
      </c>
      <c r="FZ7" s="54">
        <f>FY7+1</f>
        <v>182</v>
      </c>
      <c r="GA7" s="54">
        <f t="shared" ref="GA7" si="96">FZ7+1</f>
        <v>183</v>
      </c>
      <c r="GB7" s="54">
        <f t="shared" ref="GB7" si="97">GA7+1</f>
        <v>184</v>
      </c>
      <c r="GC7" s="99">
        <f t="shared" ref="GC7" si="98">GB7+1</f>
        <v>185</v>
      </c>
      <c r="GD7" s="53">
        <f t="shared" ref="GD7" si="99">GC7+1</f>
        <v>186</v>
      </c>
      <c r="GE7" s="54">
        <f t="shared" ref="GE7" si="100">GD7+1</f>
        <v>187</v>
      </c>
      <c r="GF7" s="54">
        <f>GE7+1</f>
        <v>188</v>
      </c>
      <c r="GG7" s="54">
        <f t="shared" ref="GG7" si="101">GF7+1</f>
        <v>189</v>
      </c>
      <c r="GH7" s="54">
        <f t="shared" ref="GH7" si="102">GG7+1</f>
        <v>190</v>
      </c>
      <c r="GI7" s="99">
        <f t="shared" ref="GI7" si="103">GH7+1</f>
        <v>191</v>
      </c>
      <c r="GJ7" s="53">
        <f t="shared" ref="GJ7" si="104">GI7+1</f>
        <v>192</v>
      </c>
      <c r="GK7" s="54">
        <f t="shared" ref="GK7" si="105">GJ7+1</f>
        <v>193</v>
      </c>
      <c r="GL7" s="54">
        <f>GK7+1</f>
        <v>194</v>
      </c>
      <c r="GM7" s="54">
        <f t="shared" ref="GM7" si="106">GL7+1</f>
        <v>195</v>
      </c>
      <c r="GN7" s="54">
        <f t="shared" ref="GN7" si="107">GM7+1</f>
        <v>196</v>
      </c>
      <c r="GO7" s="99">
        <f t="shared" ref="GO7" si="108">GN7+1</f>
        <v>197</v>
      </c>
      <c r="GP7" s="55">
        <f>GI7+1</f>
        <v>192</v>
      </c>
      <c r="GQ7" s="144">
        <f>GP7+1</f>
        <v>193</v>
      </c>
      <c r="GR7" s="77">
        <f>GQ7+1</f>
        <v>194</v>
      </c>
      <c r="GS7" s="144">
        <f>GR7+1</f>
        <v>195</v>
      </c>
    </row>
    <row r="8" spans="1:201" s="23" customFormat="1" thickBot="1" x14ac:dyDescent="0.25">
      <c r="A8" s="89" t="s">
        <v>3</v>
      </c>
      <c r="B8" s="93" t="s">
        <v>4</v>
      </c>
      <c r="C8" s="48" t="s">
        <v>49</v>
      </c>
      <c r="D8" s="52" t="s">
        <v>4</v>
      </c>
      <c r="E8" s="48" t="s">
        <v>49</v>
      </c>
      <c r="F8" s="52" t="s">
        <v>4</v>
      </c>
      <c r="G8" s="51" t="s">
        <v>5</v>
      </c>
      <c r="H8" s="49" t="s">
        <v>4</v>
      </c>
      <c r="I8" s="49" t="s">
        <v>50</v>
      </c>
      <c r="J8" s="100" t="s">
        <v>68</v>
      </c>
      <c r="K8" s="105" t="s">
        <v>50</v>
      </c>
      <c r="L8" s="50" t="s">
        <v>4</v>
      </c>
      <c r="M8" s="48" t="s">
        <v>50</v>
      </c>
      <c r="N8" s="49" t="s">
        <v>50</v>
      </c>
      <c r="O8" s="49" t="s">
        <v>50</v>
      </c>
      <c r="P8" s="49" t="s">
        <v>4</v>
      </c>
      <c r="Q8" s="52" t="s">
        <v>4</v>
      </c>
      <c r="R8" s="48" t="s">
        <v>4</v>
      </c>
      <c r="S8" s="49" t="s">
        <v>50</v>
      </c>
      <c r="T8" s="49" t="s">
        <v>50</v>
      </c>
      <c r="U8" s="49" t="s">
        <v>50</v>
      </c>
      <c r="V8" s="49" t="s">
        <v>4</v>
      </c>
      <c r="W8" s="52" t="s">
        <v>4</v>
      </c>
      <c r="X8" s="48" t="s">
        <v>4</v>
      </c>
      <c r="Y8" s="49" t="s">
        <v>50</v>
      </c>
      <c r="Z8" s="49" t="s">
        <v>50</v>
      </c>
      <c r="AA8" s="49" t="s">
        <v>50</v>
      </c>
      <c r="AB8" s="49" t="s">
        <v>4</v>
      </c>
      <c r="AC8" s="52" t="s">
        <v>4</v>
      </c>
      <c r="AD8" s="48" t="s">
        <v>4</v>
      </c>
      <c r="AE8" s="49" t="s">
        <v>50</v>
      </c>
      <c r="AF8" s="49" t="s">
        <v>50</v>
      </c>
      <c r="AG8" s="49" t="s">
        <v>50</v>
      </c>
      <c r="AH8" s="49" t="s">
        <v>4</v>
      </c>
      <c r="AI8" s="52" t="s">
        <v>4</v>
      </c>
      <c r="AJ8" s="48" t="s">
        <v>4</v>
      </c>
      <c r="AK8" s="49" t="s">
        <v>50</v>
      </c>
      <c r="AL8" s="49" t="s">
        <v>50</v>
      </c>
      <c r="AM8" s="49" t="s">
        <v>50</v>
      </c>
      <c r="AN8" s="49" t="s">
        <v>4</v>
      </c>
      <c r="AO8" s="52" t="s">
        <v>4</v>
      </c>
      <c r="AP8" s="48" t="s">
        <v>4</v>
      </c>
      <c r="AQ8" s="49" t="s">
        <v>50</v>
      </c>
      <c r="AR8" s="49" t="s">
        <v>50</v>
      </c>
      <c r="AS8" s="49" t="s">
        <v>50</v>
      </c>
      <c r="AT8" s="49" t="s">
        <v>4</v>
      </c>
      <c r="AU8" s="52" t="s">
        <v>4</v>
      </c>
      <c r="AV8" s="48" t="s">
        <v>4</v>
      </c>
      <c r="AW8" s="49" t="s">
        <v>50</v>
      </c>
      <c r="AX8" s="49" t="s">
        <v>50</v>
      </c>
      <c r="AY8" s="49" t="s">
        <v>50</v>
      </c>
      <c r="AZ8" s="49" t="s">
        <v>4</v>
      </c>
      <c r="BA8" s="52" t="s">
        <v>4</v>
      </c>
      <c r="BB8" s="48" t="s">
        <v>4</v>
      </c>
      <c r="BC8" s="49" t="s">
        <v>50</v>
      </c>
      <c r="BD8" s="49" t="s">
        <v>50</v>
      </c>
      <c r="BE8" s="49" t="s">
        <v>50</v>
      </c>
      <c r="BF8" s="49" t="s">
        <v>4</v>
      </c>
      <c r="BG8" s="52" t="s">
        <v>4</v>
      </c>
      <c r="BH8" s="48" t="s">
        <v>4</v>
      </c>
      <c r="BI8" s="49" t="s">
        <v>50</v>
      </c>
      <c r="BJ8" s="49" t="s">
        <v>50</v>
      </c>
      <c r="BK8" s="49" t="s">
        <v>50</v>
      </c>
      <c r="BL8" s="49" t="s">
        <v>4</v>
      </c>
      <c r="BM8" s="52" t="s">
        <v>4</v>
      </c>
      <c r="BN8" s="48" t="s">
        <v>4</v>
      </c>
      <c r="BO8" s="49" t="s">
        <v>50</v>
      </c>
      <c r="BP8" s="49" t="s">
        <v>50</v>
      </c>
      <c r="BQ8" s="49" t="s">
        <v>50</v>
      </c>
      <c r="BR8" s="49" t="s">
        <v>4</v>
      </c>
      <c r="BS8" s="100" t="s">
        <v>4</v>
      </c>
      <c r="BT8" s="48" t="s">
        <v>4</v>
      </c>
      <c r="BU8" s="49" t="s">
        <v>50</v>
      </c>
      <c r="BV8" s="49" t="s">
        <v>50</v>
      </c>
      <c r="BW8" s="49" t="s">
        <v>50</v>
      </c>
      <c r="BX8" s="49" t="s">
        <v>4</v>
      </c>
      <c r="BY8" s="100" t="s">
        <v>4</v>
      </c>
      <c r="BZ8" s="48" t="s">
        <v>4</v>
      </c>
      <c r="CA8" s="49" t="s">
        <v>50</v>
      </c>
      <c r="CB8" s="49" t="s">
        <v>50</v>
      </c>
      <c r="CC8" s="49" t="s">
        <v>50</v>
      </c>
      <c r="CD8" s="49" t="s">
        <v>4</v>
      </c>
      <c r="CE8" s="100" t="s">
        <v>4</v>
      </c>
      <c r="CF8" s="48" t="s">
        <v>4</v>
      </c>
      <c r="CG8" s="49" t="s">
        <v>50</v>
      </c>
      <c r="CH8" s="49" t="s">
        <v>50</v>
      </c>
      <c r="CI8" s="49" t="s">
        <v>50</v>
      </c>
      <c r="CJ8" s="49" t="s">
        <v>4</v>
      </c>
      <c r="CK8" s="100" t="s">
        <v>4</v>
      </c>
      <c r="CL8" s="48" t="s">
        <v>4</v>
      </c>
      <c r="CM8" s="49" t="s">
        <v>50</v>
      </c>
      <c r="CN8" s="49" t="s">
        <v>50</v>
      </c>
      <c r="CO8" s="49" t="s">
        <v>50</v>
      </c>
      <c r="CP8" s="49" t="s">
        <v>4</v>
      </c>
      <c r="CQ8" s="100" t="s">
        <v>4</v>
      </c>
      <c r="CR8" s="48" t="s">
        <v>4</v>
      </c>
      <c r="CS8" s="49" t="s">
        <v>50</v>
      </c>
      <c r="CT8" s="49" t="s">
        <v>50</v>
      </c>
      <c r="CU8" s="49" t="s">
        <v>50</v>
      </c>
      <c r="CV8" s="49" t="s">
        <v>4</v>
      </c>
      <c r="CW8" s="100" t="s">
        <v>4</v>
      </c>
      <c r="CX8" s="48" t="s">
        <v>4</v>
      </c>
      <c r="CY8" s="49" t="s">
        <v>50</v>
      </c>
      <c r="CZ8" s="49" t="s">
        <v>50</v>
      </c>
      <c r="DA8" s="49" t="s">
        <v>50</v>
      </c>
      <c r="DB8" s="49" t="s">
        <v>4</v>
      </c>
      <c r="DC8" s="100" t="s">
        <v>4</v>
      </c>
      <c r="DD8" s="48" t="s">
        <v>4</v>
      </c>
      <c r="DE8" s="49" t="s">
        <v>50</v>
      </c>
      <c r="DF8" s="49" t="s">
        <v>50</v>
      </c>
      <c r="DG8" s="49" t="s">
        <v>50</v>
      </c>
      <c r="DH8" s="49" t="s">
        <v>4</v>
      </c>
      <c r="DI8" s="100" t="s">
        <v>4</v>
      </c>
      <c r="DJ8" s="48" t="s">
        <v>4</v>
      </c>
      <c r="DK8" s="49" t="s">
        <v>50</v>
      </c>
      <c r="DL8" s="49" t="s">
        <v>50</v>
      </c>
      <c r="DM8" s="49" t="s">
        <v>50</v>
      </c>
      <c r="DN8" s="49" t="s">
        <v>4</v>
      </c>
      <c r="DO8" s="100" t="s">
        <v>4</v>
      </c>
      <c r="DP8" s="48" t="s">
        <v>4</v>
      </c>
      <c r="DQ8" s="49" t="s">
        <v>50</v>
      </c>
      <c r="DR8" s="49" t="s">
        <v>50</v>
      </c>
      <c r="DS8" s="49" t="s">
        <v>50</v>
      </c>
      <c r="DT8" s="49" t="s">
        <v>4</v>
      </c>
      <c r="DU8" s="100" t="s">
        <v>4</v>
      </c>
      <c r="DV8" s="48" t="s">
        <v>4</v>
      </c>
      <c r="DW8" s="49" t="s">
        <v>50</v>
      </c>
      <c r="DX8" s="49" t="s">
        <v>50</v>
      </c>
      <c r="DY8" s="49" t="s">
        <v>50</v>
      </c>
      <c r="DZ8" s="150" t="s">
        <v>4</v>
      </c>
      <c r="EA8" s="100" t="s">
        <v>4</v>
      </c>
      <c r="EB8" s="48" t="s">
        <v>4</v>
      </c>
      <c r="EC8" s="49" t="s">
        <v>50</v>
      </c>
      <c r="ED8" s="49" t="s">
        <v>50</v>
      </c>
      <c r="EE8" s="49" t="s">
        <v>50</v>
      </c>
      <c r="EF8" s="150" t="s">
        <v>4</v>
      </c>
      <c r="EG8" s="100" t="s">
        <v>4</v>
      </c>
      <c r="EH8" s="48" t="s">
        <v>4</v>
      </c>
      <c r="EI8" s="49" t="s">
        <v>50</v>
      </c>
      <c r="EJ8" s="49" t="s">
        <v>50</v>
      </c>
      <c r="EK8" s="49" t="s">
        <v>50</v>
      </c>
      <c r="EL8" s="150" t="s">
        <v>4</v>
      </c>
      <c r="EM8" s="100" t="s">
        <v>4</v>
      </c>
      <c r="EN8" s="32" t="s">
        <v>4</v>
      </c>
      <c r="EO8" s="33" t="s">
        <v>50</v>
      </c>
      <c r="EP8" s="33" t="s">
        <v>50</v>
      </c>
      <c r="EQ8" s="33" t="s">
        <v>50</v>
      </c>
      <c r="ER8" s="33" t="s">
        <v>4</v>
      </c>
      <c r="ES8" s="34" t="s">
        <v>4</v>
      </c>
      <c r="ET8" s="48" t="s">
        <v>4</v>
      </c>
      <c r="EU8" s="49" t="s">
        <v>50</v>
      </c>
      <c r="EV8" s="49" t="s">
        <v>50</v>
      </c>
      <c r="EW8" s="49" t="s">
        <v>50</v>
      </c>
      <c r="EX8" s="150" t="s">
        <v>4</v>
      </c>
      <c r="EY8" s="100" t="s">
        <v>4</v>
      </c>
      <c r="EZ8" s="48" t="s">
        <v>4</v>
      </c>
      <c r="FA8" s="49" t="s">
        <v>50</v>
      </c>
      <c r="FB8" s="49" t="s">
        <v>50</v>
      </c>
      <c r="FC8" s="49" t="s">
        <v>50</v>
      </c>
      <c r="FD8" s="150" t="s">
        <v>4</v>
      </c>
      <c r="FE8" s="100" t="s">
        <v>4</v>
      </c>
      <c r="FF8" s="48" t="s">
        <v>4</v>
      </c>
      <c r="FG8" s="49" t="s">
        <v>50</v>
      </c>
      <c r="FH8" s="49" t="s">
        <v>50</v>
      </c>
      <c r="FI8" s="49" t="s">
        <v>50</v>
      </c>
      <c r="FJ8" s="150" t="s">
        <v>4</v>
      </c>
      <c r="FK8" s="100" t="s">
        <v>4</v>
      </c>
      <c r="FL8" s="48" t="s">
        <v>4</v>
      </c>
      <c r="FM8" s="49" t="s">
        <v>50</v>
      </c>
      <c r="FN8" s="49" t="s">
        <v>50</v>
      </c>
      <c r="FO8" s="49" t="s">
        <v>50</v>
      </c>
      <c r="FP8" s="150" t="s">
        <v>4</v>
      </c>
      <c r="FQ8" s="100" t="s">
        <v>4</v>
      </c>
      <c r="FR8" s="48" t="s">
        <v>4</v>
      </c>
      <c r="FS8" s="49" t="s">
        <v>50</v>
      </c>
      <c r="FT8" s="49" t="s">
        <v>50</v>
      </c>
      <c r="FU8" s="49" t="s">
        <v>50</v>
      </c>
      <c r="FV8" s="150" t="s">
        <v>4</v>
      </c>
      <c r="FW8" s="100" t="s">
        <v>4</v>
      </c>
      <c r="FX8" s="48" t="s">
        <v>4</v>
      </c>
      <c r="FY8" s="49" t="s">
        <v>50</v>
      </c>
      <c r="FZ8" s="49" t="s">
        <v>50</v>
      </c>
      <c r="GA8" s="49" t="s">
        <v>50</v>
      </c>
      <c r="GB8" s="150" t="s">
        <v>4</v>
      </c>
      <c r="GC8" s="100" t="s">
        <v>4</v>
      </c>
      <c r="GD8" s="48" t="s">
        <v>4</v>
      </c>
      <c r="GE8" s="49" t="s">
        <v>50</v>
      </c>
      <c r="GF8" s="49" t="s">
        <v>50</v>
      </c>
      <c r="GG8" s="49" t="s">
        <v>50</v>
      </c>
      <c r="GH8" s="150" t="s">
        <v>4</v>
      </c>
      <c r="GI8" s="100" t="s">
        <v>4</v>
      </c>
      <c r="GJ8" s="48" t="s">
        <v>4</v>
      </c>
      <c r="GK8" s="49" t="s">
        <v>50</v>
      </c>
      <c r="GL8" s="49" t="s">
        <v>50</v>
      </c>
      <c r="GM8" s="49" t="s">
        <v>50</v>
      </c>
      <c r="GN8" s="150" t="s">
        <v>4</v>
      </c>
      <c r="GO8" s="100" t="s">
        <v>4</v>
      </c>
      <c r="GP8" s="213" t="s">
        <v>4</v>
      </c>
      <c r="GQ8" s="146" t="s">
        <v>4</v>
      </c>
      <c r="GR8" s="78" t="s">
        <v>50</v>
      </c>
      <c r="GS8" s="241" t="s">
        <v>4</v>
      </c>
    </row>
    <row r="9" spans="1:201" s="20" customFormat="1" x14ac:dyDescent="0.25">
      <c r="A9" s="158" t="s">
        <v>172</v>
      </c>
      <c r="B9" s="129" t="s">
        <v>8</v>
      </c>
      <c r="C9" s="129" t="s">
        <v>8</v>
      </c>
      <c r="D9" s="129" t="s">
        <v>8</v>
      </c>
      <c r="E9" s="129" t="s">
        <v>8</v>
      </c>
      <c r="F9" s="129" t="s">
        <v>8</v>
      </c>
      <c r="G9" s="94">
        <f>'Исходные данные'!C11</f>
        <v>884</v>
      </c>
      <c r="H9" s="42">
        <f>'Исходные данные'!D11</f>
        <v>938801</v>
      </c>
      <c r="I9" s="43">
        <f>'Расчет КРП'!G7</f>
        <v>3.1897625798420228</v>
      </c>
      <c r="J9" s="101" t="s">
        <v>8</v>
      </c>
      <c r="K9" s="132">
        <f t="shared" ref="K9:K25" si="109">((H9/G9)/($H$26/$G$26))/I9</f>
        <v>0.1987342503126083</v>
      </c>
      <c r="L9" s="133">
        <f>$D$26*G9/$G$26</f>
        <v>98377.399612849214</v>
      </c>
      <c r="M9" s="137">
        <f t="shared" ref="M9:M25" si="110">(((H9+L9)/G9)/$J$26)/I9</f>
        <v>0.21955970614378389</v>
      </c>
      <c r="N9" s="138" t="s">
        <v>8</v>
      </c>
      <c r="O9" s="139">
        <f t="shared" ref="O9:O25" si="111">$N$26-M9</f>
        <v>5.5047511878316024E-2</v>
      </c>
      <c r="P9" s="151">
        <f t="shared" ref="P9:P25" si="112">IF(O9&gt;0,G9*I9*(($H$26+$L$26)/$G$26)*O9,0)</f>
        <v>277312.95691280224</v>
      </c>
      <c r="Q9" s="140">
        <f t="shared" ref="Q9:Q25" si="113">IF(($F$26-P$26)&gt;0,P9,$F$26*P9/P$26)</f>
        <v>277312.95691280224</v>
      </c>
      <c r="R9" s="134" t="s">
        <v>8</v>
      </c>
      <c r="S9" s="41" t="s">
        <v>8</v>
      </c>
      <c r="T9" s="45">
        <f t="shared" ref="T9:T25" si="114">(((H9+L9+Q9)/G9)/$J$26)/I9</f>
        <v>0.27826392843800646</v>
      </c>
      <c r="U9" s="44">
        <f t="shared" ref="U9:U25" si="115">S$26-T9</f>
        <v>7.216781303909009E-2</v>
      </c>
      <c r="V9" s="46">
        <f t="shared" ref="V9:V25" si="116">IF(U9&gt;0,$G9*$I9*(($H$26+$L$26+$Q$26)/$G$26)*U9,0)</f>
        <v>416097.0256770085</v>
      </c>
      <c r="W9" s="72">
        <f t="shared" ref="W9:W25" si="117">IF((R$26-V$26)&gt;0,V9,R$26*V9/V$26)</f>
        <v>416097.0256770085</v>
      </c>
      <c r="X9" s="68" t="s">
        <v>8</v>
      </c>
      <c r="Y9" s="41" t="s">
        <v>8</v>
      </c>
      <c r="Z9" s="45">
        <f t="shared" ref="Z9:Z25" si="118">(((H9+L9+Q9+W9)/G9)/$J$26)/I9</f>
        <v>0.36634727139910939</v>
      </c>
      <c r="AA9" s="44">
        <f t="shared" ref="AA9:AA25" si="119">Y$26-Z9</f>
        <v>4.8519592954848256E-2</v>
      </c>
      <c r="AB9" s="46">
        <f t="shared" ref="AB9:AB25" si="120">IF(AA9&gt;0,$G9*$I9*(($H$26+$L$26+$Q$26+$W$26)/$G$26)*AA9,0)</f>
        <v>309573.58480849542</v>
      </c>
      <c r="AC9" s="72">
        <f t="shared" ref="AC9:AC25" si="121">IF((X$26-AB$26)&gt;0,AB9,X$26*AB9/AB$26)</f>
        <v>309573.58480849542</v>
      </c>
      <c r="AD9" s="68" t="s">
        <v>8</v>
      </c>
      <c r="AE9" s="41" t="s">
        <v>8</v>
      </c>
      <c r="AF9" s="45">
        <f t="shared" ref="AF9:AF25" si="122">(((H9+L9+Q9+W9+AC9)/G9)/$J$26)/I9</f>
        <v>0.43188072768377783</v>
      </c>
      <c r="AG9" s="44">
        <f t="shared" ref="AG9:AG25" si="123">AE$26-AF9</f>
        <v>3.9785880295818143E-2</v>
      </c>
      <c r="AH9" s="46">
        <f t="shared" ref="AH9:AH25" si="124">IF(AG9&gt;0,$G9*$I9*(($H$26+$L$26+$Q$26+$W$26+$AC$26)/$G$26)*AG9,0)</f>
        <v>275667.97299932083</v>
      </c>
      <c r="AI9" s="72">
        <f t="shared" ref="AI9:AI25" si="125">IF((AD$26-AH$26)&gt;0,AH9,AD$26*AH9/AH$26)</f>
        <v>275667.97299932083</v>
      </c>
      <c r="AJ9" s="68" t="s">
        <v>8</v>
      </c>
      <c r="AK9" s="41" t="s">
        <v>8</v>
      </c>
      <c r="AL9" s="45">
        <f t="shared" ref="AL9:AL25" si="126">(((H9+L9+Q9+W9+AC9+AI9)/G9)/$J$26)/I9</f>
        <v>0.4902367242679489</v>
      </c>
      <c r="AM9" s="44">
        <f t="shared" ref="AM9:AM25" si="127">AK$26-AL9</f>
        <v>3.3586302904707821E-2</v>
      </c>
      <c r="AN9" s="46">
        <f t="shared" ref="AN9:AN25" si="128">IF(AM9&gt;0,$G9*$I9*(($H$26+$L$26+$Q$26+$W$26+$AC$26+$AI$26)/$G$26)*AM9,0)</f>
        <v>249667.1644779128</v>
      </c>
      <c r="AO9" s="72">
        <f t="shared" ref="AO9:AO25" si="129">IF((AJ$26-AN$26)&gt;0,AN9,AJ$26*AN9/AN$26)</f>
        <v>249667.1644779128</v>
      </c>
      <c r="AP9" s="68" t="s">
        <v>8</v>
      </c>
      <c r="AQ9" s="41" t="s">
        <v>8</v>
      </c>
      <c r="AR9" s="45">
        <f t="shared" ref="AR9:AR25" si="130">(((H9+L9+Q9+W9+AC9+AI9+AO9)/G9)/$J$26)/I9</f>
        <v>0.54308862446851602</v>
      </c>
      <c r="AS9" s="44">
        <f t="shared" ref="AS9:AS25" si="131">AQ$26-AR9</f>
        <v>2.757144295952052E-2</v>
      </c>
      <c r="AT9" s="46">
        <f t="shared" ref="AT9:AT25" si="132">IF(AS9&gt;0,$G9*$I9*(($H$26+$L$26+$Q$26+$W$26+$AC$26+$AI$26+$AO$26)/$G$26)*AS9,0)</f>
        <v>217444.82640701882</v>
      </c>
      <c r="AU9" s="72">
        <f t="shared" ref="AU9:AU25" si="133">IF((AP$26-AT$26)&gt;0,AT9,AP$26*AT9/AT$26)</f>
        <v>217444.82640701882</v>
      </c>
      <c r="AV9" s="68" t="s">
        <v>8</v>
      </c>
      <c r="AW9" s="41" t="s">
        <v>8</v>
      </c>
      <c r="AX9" s="45">
        <f t="shared" ref="AX9:AX25" si="134">(((H9+L9+Q9+W9+AC9+AI9+AO9+AU9)/G9)/$J$26)/I9</f>
        <v>0.58911939622989484</v>
      </c>
      <c r="AY9" s="44">
        <f t="shared" ref="AY9:AY25" si="135">AW$26-AX9</f>
        <v>2.2543589331991631E-2</v>
      </c>
      <c r="AZ9" s="46">
        <f t="shared" ref="AZ9:AZ25" si="136">IF(AY9&gt;0,$G9*$I9*(($H$26+$L$26+$Q$26+$W$26+$AC$26+$AI$26+$AO$26+$AU$26)/$G$26)*AY9,0)</f>
        <v>186736.23510445794</v>
      </c>
      <c r="BA9" s="72">
        <f t="shared" ref="BA9:BA25" si="137">IF((AV$26-AZ$26)&gt;0,AZ9,AV$26*AZ9/AZ$26)</f>
        <v>186736.23510445794</v>
      </c>
      <c r="BB9" s="68" t="s">
        <v>8</v>
      </c>
      <c r="BC9" s="41" t="s">
        <v>8</v>
      </c>
      <c r="BD9" s="45">
        <f t="shared" ref="BD9:BD25" si="138">(((H9+L9+Q9+W9+AC9+AI9+AO9+AU9+BA9)/G9)/$J$26)/I9</f>
        <v>0.62864948374544227</v>
      </c>
      <c r="BE9" s="44">
        <f t="shared" ref="BE9:BE25" si="139">BC$26-BD9</f>
        <v>2.0843907072177092E-2</v>
      </c>
      <c r="BF9" s="46">
        <f t="shared" ref="BF9:BF25" si="140">IF(BE9&gt;0,$G9*$I9*(($H$26+$L$26+$Q$26+$W$26+$AC$26+$AI$26+$AO$26+$AU$26+$BA$26)/$G$26)*BE9,0)</f>
        <v>185425.94841874036</v>
      </c>
      <c r="BG9" s="72">
        <f t="shared" ref="BG9:BG25" si="141">IF((BB$26-BF$26)&gt;0,BF9,BB$26*BF9/BF$26)</f>
        <v>185425.94841874036</v>
      </c>
      <c r="BH9" s="68" t="s">
        <v>8</v>
      </c>
      <c r="BI9" s="41" t="s">
        <v>8</v>
      </c>
      <c r="BJ9" s="45">
        <f t="shared" ref="BJ9:BJ25" si="142">(((H9+L9+Q9+W9+AC9+AI9+AO9+AU9+BA9+BG9)/G9)/$J$26)/I9</f>
        <v>0.66790219741692602</v>
      </c>
      <c r="BK9" s="44">
        <f t="shared" ref="BK9:BK25" si="143">BI$26-BJ9</f>
        <v>1.8261476638638974E-2</v>
      </c>
      <c r="BL9" s="46">
        <f t="shared" ref="BL9:BL25" si="144">IF(BK9&gt;0,$G9*$I9*(($H$26+$L$26+$Q$26+$W$26+$AC$26+$AI$26+$AO$26+$AU$26+$BA$26+$BG$26)/$G$26)*BK9,0)</f>
        <v>171761.47414411404</v>
      </c>
      <c r="BM9" s="72">
        <f t="shared" ref="BM9:BM25" si="145">IF((BH$26-BL$26)&gt;0,BL9,BH$26*BL9/BL$26)</f>
        <v>171761.47414411404</v>
      </c>
      <c r="BN9" s="68" t="s">
        <v>8</v>
      </c>
      <c r="BO9" s="41" t="s">
        <v>8</v>
      </c>
      <c r="BP9" s="45">
        <f t="shared" ref="BP9:BP25" si="146">(((H9+L9+Q9+W9+AC9+AI9+AO9+AU9+BA9+BG9+BM9)/G9)/$J$26)/I9</f>
        <v>0.70426228629265042</v>
      </c>
      <c r="BQ9" s="44">
        <f t="shared" ref="BQ9:BQ25" si="147">BO$26-BP9</f>
        <v>1.6616594015506969E-2</v>
      </c>
      <c r="BR9" s="46">
        <f t="shared" ref="BR9:BR25" si="148">IF(BQ9&gt;0,$G9*$I9*(($H$26+$L$26+$Q$26+$W$26+$AC$26+$AI$26+$AO$26+$AU$26+$BA$26+$BG$26+$BM$26)/$G$26)*BQ9,0)</f>
        <v>165503.9379544837</v>
      </c>
      <c r="BS9" s="112">
        <f t="shared" ref="BS9:BS25" si="149">IF((BN$26-BR$26)&gt;0,BR9,BN$26*BR9/BR$26)</f>
        <v>165503.9379544837</v>
      </c>
      <c r="BT9" s="68" t="s">
        <v>8</v>
      </c>
      <c r="BU9" s="41" t="s">
        <v>8</v>
      </c>
      <c r="BV9" s="45">
        <f t="shared" ref="BV9:BV25" si="150">(((H9+L9+Q9+W9+AC9+AI9+AO9+AU9+BA9+BG9+BM9+BS9)/G9)/$J$26)/I9</f>
        <v>0.73929772088759527</v>
      </c>
      <c r="BW9" s="44">
        <f t="shared" ref="BW9:BW25" si="151">BU$26-BV9</f>
        <v>1.4276487034716956E-2</v>
      </c>
      <c r="BX9" s="46">
        <f t="shared" ref="BX9:BX25" si="152">IF(BW9&gt;0,$G9*$I9*(($H$26+$L$26+$Q$26+$W$26+$AC$26+$AI$26+$AO$26+$AU$26+$BA$26+$BG$26+$BM$26+$BS$26)/$G$26)*BW9,0)</f>
        <v>148636.31157391705</v>
      </c>
      <c r="BY9" s="112">
        <f t="shared" ref="BY9:BY25" si="153">IF((BT$26-BX$26)&gt;0,BX9,BT$26*BX9/BX$26)</f>
        <v>148636.31157391705</v>
      </c>
      <c r="BZ9" s="68" t="s">
        <v>8</v>
      </c>
      <c r="CA9" s="41" t="s">
        <v>8</v>
      </c>
      <c r="CB9" s="45">
        <f t="shared" ref="CB9:CB25" si="154">(((H9+L9+Q9+W9+AC9+AI9+AO9+AU9+BA9+BG9+BM9+BS9+BY9)/G9)/$J$26)/I9</f>
        <v>0.77076245723733683</v>
      </c>
      <c r="CC9" s="44">
        <f t="shared" ref="CC9:CC25" si="155">CA$26-CB9</f>
        <v>1.2984605139239491E-2</v>
      </c>
      <c r="CD9" s="46">
        <f t="shared" ref="CD9:CD25" si="156">IF(CC9&gt;0,$G9*$I9*(($H$26+$L$26+$Q$26+$W$26+$AC$26+$AI$26+$AO$26+$AU$26+$BA$26+$BG$26+$BM$26+$BS$26+$BY$26)/$G$26)*CC9,0)</f>
        <v>141604.77566076128</v>
      </c>
      <c r="CE9" s="112">
        <f t="shared" ref="CE9:CE25" si="157">IF((BZ$26-CD$26)&gt;0,CD9,BZ$26*CD9/CD$26)</f>
        <v>37132.172147802121</v>
      </c>
      <c r="CF9" s="68" t="s">
        <v>8</v>
      </c>
      <c r="CG9" s="41" t="s">
        <v>8</v>
      </c>
      <c r="CH9" s="45">
        <f t="shared" ref="CH9:CH25" si="158">(((H9+L9+Q9+W9+AC9+AI9+AO9+AU9+BA9+BG9+BM9+BS9+BY9+CE9)/G9)/$J$26)/I9</f>
        <v>0.77862294566275625</v>
      </c>
      <c r="CI9" s="44">
        <f t="shared" ref="CI9:CI25" si="159">CG$26-CH9</f>
        <v>1.2397061588511726E-2</v>
      </c>
      <c r="CJ9" s="46">
        <f t="shared" ref="CJ9:CJ25" si="160">IF(CI9&gt;0,$G9*$I9*(($H$26+$L$26+$Q$26+$W$26+$AC$26+$AI$26+$AO$26+$AU$26+$BA$26+$BG$26+$BM$26+$BS$26+$BY$26+$CE$26)/$G$26)*CI9,0)</f>
        <v>136366.59078739869</v>
      </c>
      <c r="CK9" s="112">
        <f t="shared" ref="CK9:CK25" si="161">IF((CF$26-CJ$26)&gt;0,CJ9,CF$26*CJ9/CJ$26)</f>
        <v>0</v>
      </c>
      <c r="CL9" s="68" t="s">
        <v>8</v>
      </c>
      <c r="CM9" s="41" t="s">
        <v>8</v>
      </c>
      <c r="CN9" s="45">
        <f t="shared" ref="CN9:CN25" si="162">(((H9+L9+Q9+W9+AC9+AI9+AO9+AU9+BA9+BG9+BM9+BS9+BY9+CE9+CK9)/G9)/$J$26)/I9</f>
        <v>0.77862294566275625</v>
      </c>
      <c r="CO9" s="44">
        <f t="shared" ref="CO9:CO25" si="163">CM$26-CN9</f>
        <v>1.2397061588511726E-2</v>
      </c>
      <c r="CP9" s="46">
        <f t="shared" ref="CP9:CP25" si="164">IF(CO9&gt;0,$G9*$I9*(($H$26+$L$26+$Q$26+$W$26+$AC$26+$AI$26+$AO$26+$AU$26+$BA$26+$BG$26+$BM$26+$BS$26+$BY$26+$CE$26+$CK$26)/$G$26)*CO9,0)</f>
        <v>136366.59078739869</v>
      </c>
      <c r="CQ9" s="112">
        <f t="shared" ref="CQ9:CQ25" si="165">IF((CL$26-CP$26)&gt;0,CP9,CL$26*CP9/CP$26)</f>
        <v>0</v>
      </c>
      <c r="CR9" s="68" t="s">
        <v>8</v>
      </c>
      <c r="CS9" s="41" t="s">
        <v>8</v>
      </c>
      <c r="CT9" s="45">
        <f t="shared" ref="CT9:CT25" si="166">(((H9+L9+Q9+W9+AC9+AI9+AO9+AU9+BA9+BG9+BM9+BS9+BY9+CE9+CK9+CQ9)/G9)/$J$26)/I9</f>
        <v>0.77862294566275625</v>
      </c>
      <c r="CU9" s="44">
        <f t="shared" ref="CU9:CU25" si="167">CS$26-CT9</f>
        <v>1.2397061588511726E-2</v>
      </c>
      <c r="CV9" s="46">
        <f t="shared" ref="CV9:CV25" si="168">IF(CU9&gt;0,$G9*$I9*(($H$26+$L$26+$Q$26+$W$26+$AC$26+$AI$26+$AO$26+$AU$26+$BA$26+$BG$26+$BM$26+$BS$26+$BY$26+$CE$26+$CK$26+$CQ$26)/$G$26)*CU9,0)</f>
        <v>136366.59078739869</v>
      </c>
      <c r="CW9" s="112">
        <f t="shared" ref="CW9:CW25" si="169">IF((CR$26-CV$26)&gt;0,CV9,CR$26*CV9/CV$26)</f>
        <v>0</v>
      </c>
      <c r="CX9" s="68" t="s">
        <v>8</v>
      </c>
      <c r="CY9" s="41" t="s">
        <v>8</v>
      </c>
      <c r="CZ9" s="45">
        <f t="shared" ref="CZ9:CZ25" si="170">(((H9+L9+Q9+W9+AC9+AI9+AO9+AU9+BA9+BG9+BM9+BS9+BY9+CE9+CK9+CQ9+CW9)/G9)/$J$26)/I9</f>
        <v>0.77862294566275625</v>
      </c>
      <c r="DA9" s="44">
        <f t="shared" ref="DA9:DA25" si="171">CY$26-CZ9</f>
        <v>1.2397061588511726E-2</v>
      </c>
      <c r="DB9" s="46">
        <f t="shared" ref="DB9:DB25" si="172">IF(DA9&gt;0,$G9*$I9*(($H$26+$L$26+$Q$26+$W$26+$AC$26+$AI$26+$AO$26+$AU$26+$BA$26+$BG$26+$BM$26+$BS$26+$BY$26+$CE$26+$CK$26+$CQ$26+$CW$26)/$G$26)*DA9,0)</f>
        <v>136366.59078739869</v>
      </c>
      <c r="DC9" s="112">
        <f t="shared" ref="DC9:DC25" si="173">IF((CX$26-DB$26)&gt;0,DB9,CX$26*DB9/DB$26)</f>
        <v>0</v>
      </c>
      <c r="DD9" s="68" t="s">
        <v>8</v>
      </c>
      <c r="DE9" s="41" t="s">
        <v>8</v>
      </c>
      <c r="DF9" s="45">
        <f t="shared" ref="DF9:DF25" si="174">(((H9+L9+Q9+W9+AC9+AI9+AO9+AU9+BA9+BG9+BM9+BS9+BY9+CE9+CK9+CQ9+CW9+DC9)/G9)/$J$26)/I9</f>
        <v>0.77862294566275625</v>
      </c>
      <c r="DG9" s="44">
        <f t="shared" ref="DG9:DG25" si="175">DE$26-DF9</f>
        <v>1.2397061588511726E-2</v>
      </c>
      <c r="DH9" s="46">
        <f t="shared" ref="DH9:DH25" si="176">IF(DG9&gt;0,$G9*$I9*(($H$26+$L$26+$Q$26+$W$26+$AC$26+$AI$26+$AO$26+$AU$26+$BA$26+$BG$26+$BM$26+$BS$26+$BY$26+$CE$26+$CK$26+$CQ$26+$CW$26+$DC$26)/$G$26)*DG9,0)</f>
        <v>136366.59078739869</v>
      </c>
      <c r="DI9" s="112">
        <f t="shared" ref="DI9:DI25" si="177">IF((DD$26-DH$26)&gt;0,DH9,DD$26*DH9/DH$26)</f>
        <v>0</v>
      </c>
      <c r="DJ9" s="68" t="s">
        <v>8</v>
      </c>
      <c r="DK9" s="41" t="s">
        <v>8</v>
      </c>
      <c r="DL9" s="45">
        <f t="shared" ref="DL9:DL25" si="178">(((H9+L9+Q9+W9+AC9+AI9+AO9+AU9+BA9+BG9+BM9+BS9+BY9+CE9+CK9+CQ9+CW9+DC9+DI9)/G9)/$J$26)/I9</f>
        <v>0.77862294566275625</v>
      </c>
      <c r="DM9" s="44">
        <f t="shared" ref="DM9:DM25" si="179">DK$26-DL9</f>
        <v>1.2397061588511726E-2</v>
      </c>
      <c r="DN9" s="46">
        <f t="shared" ref="DN9:DN25" si="180">IF(DM9&gt;0,$G9*$I9*(($H$26+$L$26+$Q$26+$W$26+$AC$26+$AI$26+$AO$26+$AU$26+$BA$26+$BG$26+$BM$26+$BS$26+$BY$26+$CE$26+$CK$26+$CQ$26+$CW$26+$DC$26+$DI$26)/$G$26)*DM9,0)</f>
        <v>136366.59078739869</v>
      </c>
      <c r="DO9" s="112">
        <f t="shared" ref="DO9:DO25" si="181">IF((DJ$26-DN$26)&gt;0,DN9,DJ$26*DN9/DN$26)</f>
        <v>0</v>
      </c>
      <c r="DP9" s="68" t="s">
        <v>8</v>
      </c>
      <c r="DQ9" s="41" t="s">
        <v>8</v>
      </c>
      <c r="DR9" s="45">
        <f t="shared" ref="DR9:DR25" si="182">(((H9+L9+Q9+W9+AC9+AI9+AO9+AU9+BA9+BG9+BM9+BS9+BY9+CE9+CK9+CQ9+CW9+DC9+DI9+DO9)/G9)/$J$26)/I9</f>
        <v>0.77862294566275625</v>
      </c>
      <c r="DS9" s="44">
        <f t="shared" ref="DS9:DS25" si="183">DQ$26-DR9</f>
        <v>1.2397061588511726E-2</v>
      </c>
      <c r="DT9" s="46">
        <f t="shared" ref="DT9:DT25" si="184">IF(DS9&gt;0,$G9*$I9*(($H$26+$L$26+$Q$26+$W$26+$AC$26+$AI$26+$AO$26+$AU$26+$BA$26+$BG$26+$BM$26+$BS$26+$BY$26+$CE$26+$CK$26+$CQ$26+$CW$26+$DC$26+$DI$26+$DO$26)/$G$26)*DS9,0)</f>
        <v>136366.59078739869</v>
      </c>
      <c r="DU9" s="112">
        <f t="shared" ref="DU9:DU25" si="185">IF((DP$26-DT$26)&gt;0,DT9,DP$26*DT9/DT$26)</f>
        <v>0</v>
      </c>
      <c r="DV9" s="148" t="s">
        <v>8</v>
      </c>
      <c r="DW9" s="138" t="s">
        <v>8</v>
      </c>
      <c r="DX9" s="152">
        <f t="shared" ref="DX9:DX25" si="186">((($H9+$L9+$Q9+$W9+$AC9+$AI9+$AO9+$AU9+$BA9+$BG9+$BM9+$BS9+$BY9+$CE9+$CK9+$CQ9+$CW9+$DC9+$DI9+$DO9+$DU9)/$G9)/$J$26)/$I9</f>
        <v>0.77862294566275625</v>
      </c>
      <c r="DY9" s="139">
        <f t="shared" ref="DY9:DY25" si="187">DW$26-DX9</f>
        <v>1.2397061588511726E-2</v>
      </c>
      <c r="DZ9" s="29">
        <f t="shared" ref="DZ9:DZ25" si="188">IF(DY9&gt;0,$G9*$I9*(($H$26+$L$26+$Q$26+$W$26+$AC$26+$AI$26+$AO$26+$AU$26+$BA$26+$BG$26+$BM$26+$BS$26+$BY$26+$CE$26+$CK$26+$CQ$26+$CW$26+$DC$26+$DI$26+$DO$26+$DU$26)/$G$26)*DY9,0)</f>
        <v>136366.59078739869</v>
      </c>
      <c r="EA9" s="140">
        <f t="shared" ref="EA9:EA25" si="189">IF((DV$26-DZ$26)&gt;0,DZ9,DV$26*DZ9/DZ$26)</f>
        <v>0</v>
      </c>
      <c r="EB9" s="148" t="s">
        <v>8</v>
      </c>
      <c r="EC9" s="138" t="s">
        <v>8</v>
      </c>
      <c r="ED9" s="152">
        <f t="shared" ref="ED9:ED25" si="190">((($H9+$L9+$Q9+$W9+$AC9+$AI9+$AO9+$AU9+$BA9+$BG9+$BM9+$BS9+$BY9+$CE9+$CK9+$CQ9+$CW9+$DC9+$DI9+$DO9+$DU9+$EA9)/$G9)/$J$26)/$I9</f>
        <v>0.77862294566275625</v>
      </c>
      <c r="EE9" s="139">
        <f t="shared" ref="EE9:EE25" si="191">EC$26-ED9</f>
        <v>1.2397061588511726E-2</v>
      </c>
      <c r="EF9" s="29">
        <f t="shared" ref="EF9:EF25" si="192">IF(EE9&gt;0,$G9*$I9*(($H$26+$L$26+$Q$26+$W$26+$AC$26+$AI$26+$AO$26+$AU$26+$BA$26+$BG$26+$BM$26+$BS$26+$BY$26+$CE$26+$CK$26+$CQ$26+$CW$26+$DC$26+$DI$26+$DO$26+$DU$26+$EA$26)/$G$26)*EE9,0)</f>
        <v>136366.59078739869</v>
      </c>
      <c r="EG9" s="140">
        <f t="shared" ref="EG9:EG25" si="193">IF((EB$26-EF$26)&gt;0,EF9,EB$26*EF9/EF$26)</f>
        <v>0</v>
      </c>
      <c r="EH9" s="148" t="s">
        <v>8</v>
      </c>
      <c r="EI9" s="138" t="s">
        <v>8</v>
      </c>
      <c r="EJ9" s="152">
        <f t="shared" ref="EJ9:EJ25" si="194">((($H9+$L9+$Q9+$W9+$AC9+$AI9+$AO9+$AU9+$BA9+$BG9+$BM9+$BS9+$BY9+$CE9+$CK9+$CQ9+$CW9+$DC9+$DI9+$DO9+$DU9+$EA9+$EG9)/$G9)/$J$26)/$I9</f>
        <v>0.77862294566275625</v>
      </c>
      <c r="EK9" s="139">
        <f t="shared" ref="EK9:EK25" si="195">EI$26-EJ9</f>
        <v>1.2397061588511726E-2</v>
      </c>
      <c r="EL9" s="29">
        <f t="shared" ref="EL9:EL25" si="196">IF(EK9&gt;0,$G9*$I9*(($H$26+$L$26+$Q$26+$W$26+$AC$26+$AI$26+$AO$26+$AU$26+$BA$26+$BG$26+$BM$26+$BS$26+$BY$26+$CE$26+$CK$26+$CQ$26+$CW$26+$DC$26+$DI$26+$DO$26+$DU$26+$EA$26+$EG$26)/$G$26)*EK9,0)</f>
        <v>136366.59078739869</v>
      </c>
      <c r="EM9" s="140">
        <f t="shared" ref="EM9:EM25" si="197">IF((EH$26-EL$26)&gt;0,EL9,EH$26*EL9/EL$26)</f>
        <v>0</v>
      </c>
      <c r="EN9" s="68" t="s">
        <v>8</v>
      </c>
      <c r="EO9" s="41" t="s">
        <v>8</v>
      </c>
      <c r="EP9" s="153">
        <f t="shared" ref="EP9:EP25" si="198">((($H9+$L9+$Q9+$W9+$AC9+$AI9+$AO9+$AU9+$BA9+$BG9+$BM9+$BS9+$BY9+$CE9+$CK9+$CQ9+$CW9+$DC9+$DI9+$DO9+$DU9+$EA9+$EG9+$EM9)/$G9)/$J$26)/$I9</f>
        <v>0.77862294566275625</v>
      </c>
      <c r="EQ9" s="44">
        <f t="shared" ref="EQ9:EQ25" si="199">EO$26-EP9</f>
        <v>1.2397061588511726E-2</v>
      </c>
      <c r="ER9" s="46">
        <f t="shared" ref="ER9:ER25" si="200">IF(EQ9&gt;0,$G9*$I9*(($H$26+$L$26+$Q$26+$W$26+$AC$26+$AI$26+$AO$26+$AU$26+$BA$26+$BG$26+$BM$26+$BS$26+$BY$26+$CE$26+$CK$26+$CQ$26+$CW$26+$DC$26+$DI$26+$DO$26+$DU$26+$EA$26+$EG$26+$EM$26)/$G$26)*EQ9,0)</f>
        <v>136366.59078739869</v>
      </c>
      <c r="ES9" s="72">
        <f t="shared" ref="ES9:ES25" si="201">IF((EN$26-ER$26)&gt;0,ER9,EN$26*ER9/ER$26)</f>
        <v>0</v>
      </c>
      <c r="ET9" s="148" t="s">
        <v>8</v>
      </c>
      <c r="EU9" s="138" t="s">
        <v>8</v>
      </c>
      <c r="EV9" s="152">
        <f t="shared" ref="EV9:EV25" si="202">((($H9+$L9+$Q9+$W9+$AC9+$AI9+$AO9+$AU9+$BA9+$BG9+$BM9+$BS9+$BY9+$CE9+$CK9+$CQ9+$CW9+$DC9+$DI9+$DO9+$DU9+$EA9+$EG9+$EM9+$ES9)/$G9)/$J$26)/$I9</f>
        <v>0.77862294566275625</v>
      </c>
      <c r="EW9" s="139">
        <f t="shared" ref="EW9:EW25" si="203">EU$26-EV9</f>
        <v>1.2397061588511726E-2</v>
      </c>
      <c r="EX9" s="29">
        <f t="shared" ref="EX9:EX25" si="204">IF(EW9&gt;0,$G9*$I9*(($H$26+$L$26+$Q$26+$W$26+$AC$26+$AI$26+$AO$26+$AU$26+$BA$26+$BG$26+$BM$26+$BS$26+$BY$26+$CE$26+$CK$26+$CQ$26+$CW$26+$DC$26+$DI$26+$DO$26+$DU$26+$EA$26+$EG$26+$EM$26+$ES$26)/$G$26)*EW9,0)</f>
        <v>136366.59078739869</v>
      </c>
      <c r="EY9" s="140">
        <f t="shared" ref="EY9:EY25" si="205">IF((ET$26-EX$26)&gt;0,EX9,ET$26*EX9/EX$26)</f>
        <v>0</v>
      </c>
      <c r="EZ9" s="148" t="s">
        <v>8</v>
      </c>
      <c r="FA9" s="138" t="s">
        <v>8</v>
      </c>
      <c r="FB9" s="152">
        <f t="shared" ref="FB9:FB25" si="206">((($H9+$L9+$Q9+$W9+$AC9+$AI9+$AO9+$AU9+$BA9+$BG9+$BM9+$BS9+$BY9+$CE9+$CK9+$CQ9+$CW9+$DC9+$DI9+$DO9+$DU9+$EA9+$EG9+$EM9+$ES9+$EY9)/$G9)/$J$26)/$I9</f>
        <v>0.77862294566275625</v>
      </c>
      <c r="FC9" s="139">
        <f t="shared" ref="FC9:FC25" si="207">FA$26-FB9</f>
        <v>1.2397061588511726E-2</v>
      </c>
      <c r="FD9" s="29">
        <f t="shared" ref="FD9:FD25" si="208">IF(FC9&gt;0,$G9*$I9*(($H$26+$L$26+$Q$26+$W$26+$AC$26+$AI$26+$AO$26+$AU$26+$BA$26+$BG$26+$BM$26+$BS$26+$BY$26+$CE$26+$CK$26+$CQ$26+$CW$26+$DC$26+$DI$26+$DO$26+$DU$26+$EA$26+$EG$26+$EM$26+$ES$26+$EY$26)/$G$26)*FC9,0)</f>
        <v>136366.59078739869</v>
      </c>
      <c r="FE9" s="140">
        <f t="shared" ref="FE9:FE25" si="209">IF((EZ$26-FD$26)&gt;0,FD9,EZ$26*FD9/FD$26)</f>
        <v>0</v>
      </c>
      <c r="FF9" s="148" t="s">
        <v>8</v>
      </c>
      <c r="FG9" s="138" t="s">
        <v>8</v>
      </c>
      <c r="FH9" s="152">
        <f t="shared" ref="FH9:FH25" si="210">((($H9+$L9+$Q9+$W9+$AC9+$AI9+$AO9+$AU9+$BA9+$BG9+$BM9+$BS9+$BY9+$CE9+$CK9+$CQ9+$CW9+$DC9+$DI9+$DO9+$DU9+$EA9+$EG9+$EM9+$ES9+$EY9+$FE9)/$G9)/$J$26)/$I9</f>
        <v>0.77862294566275625</v>
      </c>
      <c r="FI9" s="139">
        <f t="shared" ref="FI9:FI25" si="211">FG$26-FH9</f>
        <v>1.2397061588511726E-2</v>
      </c>
      <c r="FJ9" s="29">
        <f t="shared" ref="FJ9:FJ25" si="212">IF(FI9&gt;0,$G9*$I9*(($H$26+$L$26+$Q$26+$W$26+$AC$26+$AI$26+$AO$26+$AU$26+$BA$26+$BG$26+$BM$26+$BS$26+$BY$26+$CE$26+$CK$26+$CQ$26+$CW$26+$DC$26+$DI$26+$DO$26+$DU$26+$EA$26+$EG$26+$EM$26+$ES$26+$EY$26+$FE$26)/$G$26)*FI9,0)</f>
        <v>136366.59078739869</v>
      </c>
      <c r="FK9" s="140">
        <f t="shared" ref="FK9:FK25" si="213">IF((FF$26-FJ$26)&gt;0,FJ9,FF$26*FJ9/FJ$26)</f>
        <v>0</v>
      </c>
      <c r="FL9" s="148" t="s">
        <v>8</v>
      </c>
      <c r="FM9" s="138" t="s">
        <v>8</v>
      </c>
      <c r="FN9" s="152">
        <f t="shared" ref="FN9:FN25" si="214">((($H9+$L9+$Q9+$W9+$AC9+$AI9+$AO9+$AU9+$BA9+$BG9+$BM9+$BS9+$BY9+$CE9+$CK9+$CQ9+$CW9+$DC9+$DI9+$DO9+$DU9+$EA9+$EG9+$EM9+$ES9+$EY9+$FE9+$FK9)/$G9)/$J$26)/$I9</f>
        <v>0.77862294566275625</v>
      </c>
      <c r="FO9" s="139">
        <f t="shared" ref="FO9:FO25" si="215">FM$26-FN9</f>
        <v>1.2397061588511726E-2</v>
      </c>
      <c r="FP9" s="29">
        <f t="shared" ref="FP9:FP25" si="216">IF(FO9&gt;0,$G9*$I9*(($H$26+$L$26+$Q$26+$W$26+$AC$26+$AI$26+$AO$26+$AU$26+$BA$26+$BG$26+$BM$26+$BS$26+$BY$26+$CE$26+$CK$26+$CQ$26+$CW$26+$DC$26+$DI$26+$DO$26+$DU$26+$EA$26+$EG$26+$EM$26+$ES$26+$EY$26+$FE$26+$FK$26)/$G$26)*FO9,0)</f>
        <v>136366.59078739869</v>
      </c>
      <c r="FQ9" s="140">
        <f t="shared" ref="FQ9:FQ25" si="217">IF((FL$26-FP$26)&gt;0,FP9,FL$26*FP9/FP$26)</f>
        <v>0</v>
      </c>
      <c r="FR9" s="148" t="s">
        <v>8</v>
      </c>
      <c r="FS9" s="138" t="s">
        <v>8</v>
      </c>
      <c r="FT9" s="152">
        <f t="shared" ref="FT9:FT25" si="218">((($H9+$L9+$Q9+$W9+$AC9+$AI9+$AO9+$AU9+$BA9+$BG9+$BM9+$BS9+$BY9+$CE9+$CK9+$CQ9+$CW9+$DC9+$DI9+$DO9+$DU9+$EA9+$EG9+$EM9+$ES9+$EY9+$FE9+$FK9+$FQ9)/$G9)/$J$26)/$I9</f>
        <v>0.77862294566275625</v>
      </c>
      <c r="FU9" s="139">
        <f t="shared" ref="FU9:FU25" si="219">FS$26-FT9</f>
        <v>1.2397061588511726E-2</v>
      </c>
      <c r="FV9" s="29">
        <f t="shared" ref="FV9:FV25" si="220">IF(FU9&gt;0,$G9*$I9*(($H$26+$L$26+$Q$26+$W$26+$AC$26+$AI$26+$AO$26+$AU$26+$BA$26+$BG$26+$BM$26+$BS$26+$BY$26+$CE$26+$CK$26+$CQ$26+$CW$26+$DC$26+$DI$26+$DO$26+$DU$26+$EA$26+$EG$26+$EM$26+$ES$26+$EY$26+$FE$26+$FK$26+$FQ$26)/$G$26)*FU9,0)</f>
        <v>136366.59078739869</v>
      </c>
      <c r="FW9" s="140">
        <f t="shared" ref="FW9:FW25" si="221">IF((FR$26-FV$26)&gt;0,FV9,FR$26*FV9/FV$26)</f>
        <v>0</v>
      </c>
      <c r="FX9" s="148" t="s">
        <v>8</v>
      </c>
      <c r="FY9" s="138" t="s">
        <v>8</v>
      </c>
      <c r="FZ9" s="152">
        <f t="shared" ref="FZ9:FZ25" si="222">((($H9+$L9+$Q9+$W9+$AC9+$AI9+$AO9+$AU9+$BA9+$BG9+$BM9+$BS9+$BY9+$CE9+$CK9+$CQ9+$CW9+$DC9+$DI9+$DO9+$DU9+$EA9+$EG9+$EM9+$ES9+$EY9+$FE9+$FK9+$FQ9+$FW9)/$G9)/$J$26)/$I9</f>
        <v>0.77862294566275625</v>
      </c>
      <c r="GA9" s="139">
        <f t="shared" ref="GA9:GA25" si="223">FY$26-FZ9</f>
        <v>1.2397061588511726E-2</v>
      </c>
      <c r="GB9" s="29">
        <f t="shared" ref="GB9:GB25" si="224">IF(GA9&gt;0,$G9*$I9*(($H$26+$L$26+$Q$26+$W$26+$AC$26+$AI$26+$AO$26+$AU$26+$BA$26+$BG$26+$BM$26+$BS$26+$BY$26+$CE$26+$CK$26+$CQ$26+$CW$26+$DC$26+$DI$26+$DO$26+$DU$26+$EA$26+$EG$26+$EM$26+$ES$26+$EY$26+$FE$26+$FK$26+$FQ$26+$FW$26)/$G$26)*GA9,0)</f>
        <v>136366.59078739869</v>
      </c>
      <c r="GC9" s="140">
        <f t="shared" ref="GC9:GC25" si="225">IF((FX$26-GB$26)&gt;0,GB9,FX$26*GB9/GB$26)</f>
        <v>0</v>
      </c>
      <c r="GD9" s="148" t="s">
        <v>8</v>
      </c>
      <c r="GE9" s="138" t="s">
        <v>8</v>
      </c>
      <c r="GF9" s="152">
        <f t="shared" ref="GF9:GF25" si="226">((($H9+$L9+$Q9+$W9+$AC9+$AI9+$AO9+$AU9+$BA9+$BG9+$BM9+$BS9+$BY9+$CE9+$CK9+$CQ9+$CW9+$DC9+$DI9+$DO9+$DU9+$EA9+$EG9+$EM9+$ES9+$EY9+$FE9+$FK9+$FQ9+$FW9+$GC9)/$G9)/$J$26)/$I9</f>
        <v>0.77862294566275625</v>
      </c>
      <c r="GG9" s="139">
        <f t="shared" ref="GG9:GG25" si="227">GE$26-GF9</f>
        <v>1.2397061588511726E-2</v>
      </c>
      <c r="GH9" s="29">
        <f t="shared" ref="GH9:GH25" si="228">IF(GG9&gt;0,$G9*$I9*(($H$26+$L$26+$Q$26+$W$26+$AC$26+$AI$26+$AO$26+$AU$26+$BA$26+$BG$26+$BM$26+$BS$26+$BY$26+$CE$26+$CK$26+$CQ$26+$CW$26+$DC$26+$DI$26+$DO$26+$DU$26+$EA$26+$EG$26+$EM$26+$ES$26+$EY$26+$FE$26+$FK$26+$FQ$26+$FW$26+$GC$26)/$G$26)*GG9,0)</f>
        <v>136366.59078739869</v>
      </c>
      <c r="GI9" s="156">
        <f t="shared" ref="GI9:GI25" si="229">IF((GD$26-GH$26)&gt;0,GH9,GD$26*GH9/GH$26)</f>
        <v>0</v>
      </c>
      <c r="GJ9" s="148" t="s">
        <v>8</v>
      </c>
      <c r="GK9" s="138" t="s">
        <v>8</v>
      </c>
      <c r="GL9" s="152">
        <f t="shared" ref="GL9:GL25" si="230">((($H9+$L9+$Q9+$W9+$AC9+$AI9+$AO9+$AU9+$BA9+$BG9+$BM9+$BS9+$BY9+$CE9+$CK9+$CQ9+$CW9+$DC9+$DI9+$DO9+$DU9+$EA9+$EG9+$EM9+$ES9+$EY9+$FE9+$FK9+$FQ9+$FW9+$GC9)/$G9)/$J$26)/$I9</f>
        <v>0.77862294566275625</v>
      </c>
      <c r="GM9" s="139">
        <f t="shared" ref="GM9:GM25" si="231">GK$26-GL9</f>
        <v>1.2397061588511726E-2</v>
      </c>
      <c r="GN9" s="29">
        <f t="shared" ref="GN9:GN25" si="232">IF(GM9&gt;0,$G9*$I9*(($H$26+$L$26+$Q$26+$W$26+$AC$26+$AI$26+$AO$26+$AU$26+$BA$26+$BG$26+$BM$26+$BS$26+$BY$26+$CE$26+$CK$26+$CQ$26+$CW$26+$DC$26+$DI$26+$DO$26+$DU$26+$EA$26+$EG$26+$EM$26+$ES$26+$EY$26+$FE$26+$FK$26+$FQ$26+$FW$26+$GC$26)/$G$26)*GM9,0)</f>
        <v>136366.59078739869</v>
      </c>
      <c r="GO9" s="156">
        <f t="shared" ref="GO9:GO25" si="233">IF((GJ$26-GN$26)&gt;0,GN9,GJ$26*GN9/GN$26)</f>
        <v>0</v>
      </c>
      <c r="GP9" s="215">
        <f t="shared" ref="GP9:GP26" si="234">Q9+W9+AC9+AI9+AO9+AU9+BA9+BG9+BM9+BS9+BY9+CE9+CK9+CQ9+CW9+DC9+DI9+DO9+DU9+EA9+EG9+EM9+ES9+EY9+FE9+FK9+FQ9+FW9+GC9+GI9+GO9</f>
        <v>2640959.6106260736</v>
      </c>
      <c r="GQ9" s="237">
        <f t="shared" ref="GQ9:GQ26" si="235">L9+GP9</f>
        <v>2739337.0102389227</v>
      </c>
      <c r="GR9" s="195">
        <f t="shared" ref="GR9:GR25" si="236">K9+GQ9/($H$26/$G$26)/G9/I9</f>
        <v>0.77862294566275614</v>
      </c>
      <c r="GS9" s="242">
        <v>2739337.01</v>
      </c>
    </row>
    <row r="10" spans="1:201" s="20" customFormat="1" x14ac:dyDescent="0.25">
      <c r="A10" s="159" t="s">
        <v>173</v>
      </c>
      <c r="B10" s="130" t="s">
        <v>8</v>
      </c>
      <c r="C10" s="130" t="s">
        <v>8</v>
      </c>
      <c r="D10" s="130" t="s">
        <v>8</v>
      </c>
      <c r="E10" s="130" t="s">
        <v>8</v>
      </c>
      <c r="F10" s="130" t="s">
        <v>8</v>
      </c>
      <c r="G10" s="95">
        <f>'Исходные данные'!C12</f>
        <v>690</v>
      </c>
      <c r="H10" s="26">
        <f>'Исходные данные'!D12</f>
        <v>902050</v>
      </c>
      <c r="I10" s="27">
        <f>'Расчет КРП'!G8</f>
        <v>3.3834257287327114</v>
      </c>
      <c r="J10" s="102" t="s">
        <v>8</v>
      </c>
      <c r="K10" s="106">
        <f t="shared" si="109"/>
        <v>0.23064002360525915</v>
      </c>
      <c r="L10" s="70">
        <f t="shared" ref="L10:L25" si="237">$D$26*G10/$G$26</f>
        <v>76787.789290572342</v>
      </c>
      <c r="M10" s="66">
        <f t="shared" si="110"/>
        <v>0.2502734558258381</v>
      </c>
      <c r="N10" s="25" t="s">
        <v>8</v>
      </c>
      <c r="O10" s="28">
        <f t="shared" si="111"/>
        <v>2.4333762196261821E-2</v>
      </c>
      <c r="P10" s="29">
        <f t="shared" si="112"/>
        <v>101493.17569536586</v>
      </c>
      <c r="Q10" s="73">
        <f t="shared" si="113"/>
        <v>101493.17569536586</v>
      </c>
      <c r="R10" s="135" t="s">
        <v>8</v>
      </c>
      <c r="S10" s="25" t="s">
        <v>8</v>
      </c>
      <c r="T10" s="30">
        <f t="shared" si="114"/>
        <v>0.27622366749719984</v>
      </c>
      <c r="U10" s="28">
        <f t="shared" si="115"/>
        <v>7.4208073979896705E-2</v>
      </c>
      <c r="V10" s="46">
        <f t="shared" si="116"/>
        <v>354239.78935802035</v>
      </c>
      <c r="W10" s="73">
        <f t="shared" si="117"/>
        <v>354239.78935802035</v>
      </c>
      <c r="X10" s="69" t="s">
        <v>8</v>
      </c>
      <c r="Y10" s="25" t="s">
        <v>8</v>
      </c>
      <c r="Z10" s="30">
        <f t="shared" si="118"/>
        <v>0.3667972203816916</v>
      </c>
      <c r="AA10" s="28">
        <f t="shared" si="119"/>
        <v>4.8069643972266041E-2</v>
      </c>
      <c r="AB10" s="46">
        <f t="shared" si="120"/>
        <v>253929.2718727866</v>
      </c>
      <c r="AC10" s="73">
        <f t="shared" si="121"/>
        <v>253929.2718727866</v>
      </c>
      <c r="AD10" s="69" t="s">
        <v>8</v>
      </c>
      <c r="AE10" s="25" t="s">
        <v>8</v>
      </c>
      <c r="AF10" s="30">
        <f t="shared" si="122"/>
        <v>0.43172294873245459</v>
      </c>
      <c r="AG10" s="28">
        <f t="shared" si="123"/>
        <v>3.9943659247141383E-2</v>
      </c>
      <c r="AH10" s="46">
        <f t="shared" si="124"/>
        <v>229139.68078986381</v>
      </c>
      <c r="AI10" s="73">
        <f t="shared" si="125"/>
        <v>229139.68078986381</v>
      </c>
      <c r="AJ10" s="69" t="s">
        <v>8</v>
      </c>
      <c r="AK10" s="25" t="s">
        <v>8</v>
      </c>
      <c r="AL10" s="30">
        <f t="shared" si="126"/>
        <v>0.49031036781817677</v>
      </c>
      <c r="AM10" s="28">
        <f t="shared" si="127"/>
        <v>3.3512659354479946E-2</v>
      </c>
      <c r="AN10" s="46">
        <f t="shared" si="128"/>
        <v>206254.40610224573</v>
      </c>
      <c r="AO10" s="73">
        <f t="shared" si="129"/>
        <v>206254.40610224573</v>
      </c>
      <c r="AP10" s="69" t="s">
        <v>8</v>
      </c>
      <c r="AQ10" s="25" t="s">
        <v>8</v>
      </c>
      <c r="AR10" s="30">
        <f t="shared" si="130"/>
        <v>0.54304638144503858</v>
      </c>
      <c r="AS10" s="28">
        <f t="shared" si="131"/>
        <v>2.761368598299796E-2</v>
      </c>
      <c r="AT10" s="46">
        <f t="shared" si="132"/>
        <v>180305.5436359781</v>
      </c>
      <c r="AU10" s="73">
        <f t="shared" si="133"/>
        <v>180305.5436359781</v>
      </c>
      <c r="AV10" s="69" t="s">
        <v>8</v>
      </c>
      <c r="AW10" s="25" t="s">
        <v>8</v>
      </c>
      <c r="AX10" s="30">
        <f t="shared" si="134"/>
        <v>0.58914767831368331</v>
      </c>
      <c r="AY10" s="28">
        <f t="shared" si="135"/>
        <v>2.2515307248203165E-2</v>
      </c>
      <c r="AZ10" s="46">
        <f t="shared" si="136"/>
        <v>154411.1033303985</v>
      </c>
      <c r="BA10" s="73">
        <f t="shared" si="137"/>
        <v>154411.1033303985</v>
      </c>
      <c r="BB10" s="69" t="s">
        <v>8</v>
      </c>
      <c r="BC10" s="25" t="s">
        <v>8</v>
      </c>
      <c r="BD10" s="30">
        <f t="shared" si="138"/>
        <v>0.62862817331621901</v>
      </c>
      <c r="BE10" s="28">
        <f t="shared" si="139"/>
        <v>2.0865217501400357E-2</v>
      </c>
      <c r="BF10" s="46">
        <f t="shared" si="140"/>
        <v>153677.19016430964</v>
      </c>
      <c r="BG10" s="73">
        <f t="shared" si="141"/>
        <v>153677.19016430964</v>
      </c>
      <c r="BH10" s="69" t="s">
        <v>8</v>
      </c>
      <c r="BI10" s="25" t="s">
        <v>8</v>
      </c>
      <c r="BJ10" s="30">
        <f t="shared" si="142"/>
        <v>0.6679210182439792</v>
      </c>
      <c r="BK10" s="28">
        <f t="shared" si="143"/>
        <v>1.8242655811585795E-2</v>
      </c>
      <c r="BL10" s="46">
        <f t="shared" si="144"/>
        <v>142060.40398301228</v>
      </c>
      <c r="BM10" s="73">
        <f t="shared" si="145"/>
        <v>142060.40398301228</v>
      </c>
      <c r="BN10" s="69" t="s">
        <v>8</v>
      </c>
      <c r="BO10" s="25" t="s">
        <v>8</v>
      </c>
      <c r="BP10" s="30">
        <f t="shared" si="146"/>
        <v>0.70424363331854789</v>
      </c>
      <c r="BQ10" s="28">
        <f t="shared" si="147"/>
        <v>1.6635246989609498E-2</v>
      </c>
      <c r="BR10" s="46">
        <f t="shared" si="148"/>
        <v>137179.96582754384</v>
      </c>
      <c r="BS10" s="113">
        <f t="shared" si="149"/>
        <v>137179.96582754384</v>
      </c>
      <c r="BT10" s="69" t="s">
        <v>8</v>
      </c>
      <c r="BU10" s="25" t="s">
        <v>8</v>
      </c>
      <c r="BV10" s="30">
        <f t="shared" si="150"/>
        <v>0.73931839697536672</v>
      </c>
      <c r="BW10" s="28">
        <f t="shared" si="151"/>
        <v>1.4255810946945502E-2</v>
      </c>
      <c r="BX10" s="46">
        <f t="shared" si="152"/>
        <v>122882.66066036651</v>
      </c>
      <c r="BY10" s="113">
        <f t="shared" si="153"/>
        <v>122882.66066036651</v>
      </c>
      <c r="BZ10" s="69" t="s">
        <v>8</v>
      </c>
      <c r="CA10" s="25" t="s">
        <v>8</v>
      </c>
      <c r="CB10" s="30">
        <f t="shared" si="154"/>
        <v>0.77073756415610373</v>
      </c>
      <c r="CC10" s="28">
        <f t="shared" si="155"/>
        <v>1.3009498220472593E-2</v>
      </c>
      <c r="CD10" s="46">
        <f t="shared" si="156"/>
        <v>117464.00746503953</v>
      </c>
      <c r="CE10" s="113">
        <f t="shared" si="157"/>
        <v>30801.883100410061</v>
      </c>
      <c r="CF10" s="69" t="s">
        <v>8</v>
      </c>
      <c r="CG10" s="25" t="s">
        <v>8</v>
      </c>
      <c r="CH10" s="30">
        <f t="shared" si="158"/>
        <v>0.7786131221022986</v>
      </c>
      <c r="CI10" s="28">
        <f t="shared" si="159"/>
        <v>1.2406885148969371E-2</v>
      </c>
      <c r="CJ10" s="46">
        <f t="shared" si="160"/>
        <v>112991.84513648917</v>
      </c>
      <c r="CK10" s="113">
        <f t="shared" si="161"/>
        <v>0</v>
      </c>
      <c r="CL10" s="69" t="s">
        <v>8</v>
      </c>
      <c r="CM10" s="25" t="s">
        <v>8</v>
      </c>
      <c r="CN10" s="30">
        <f t="shared" si="162"/>
        <v>0.7786131221022986</v>
      </c>
      <c r="CO10" s="28">
        <f t="shared" si="163"/>
        <v>1.2406885148969371E-2</v>
      </c>
      <c r="CP10" s="46">
        <f t="shared" si="164"/>
        <v>112991.84513648917</v>
      </c>
      <c r="CQ10" s="113">
        <f t="shared" si="165"/>
        <v>0</v>
      </c>
      <c r="CR10" s="69" t="s">
        <v>8</v>
      </c>
      <c r="CS10" s="25" t="s">
        <v>8</v>
      </c>
      <c r="CT10" s="30">
        <f t="shared" si="166"/>
        <v>0.7786131221022986</v>
      </c>
      <c r="CU10" s="28">
        <f t="shared" si="167"/>
        <v>1.2406885148969371E-2</v>
      </c>
      <c r="CV10" s="46">
        <f t="shared" si="168"/>
        <v>112991.84513648917</v>
      </c>
      <c r="CW10" s="113">
        <f t="shared" si="169"/>
        <v>0</v>
      </c>
      <c r="CX10" s="69" t="s">
        <v>8</v>
      </c>
      <c r="CY10" s="25" t="s">
        <v>8</v>
      </c>
      <c r="CZ10" s="30">
        <f t="shared" si="170"/>
        <v>0.7786131221022986</v>
      </c>
      <c r="DA10" s="28">
        <f t="shared" si="171"/>
        <v>1.2406885148969371E-2</v>
      </c>
      <c r="DB10" s="46">
        <f t="shared" si="172"/>
        <v>112991.84513648917</v>
      </c>
      <c r="DC10" s="113">
        <f t="shared" si="173"/>
        <v>0</v>
      </c>
      <c r="DD10" s="69" t="s">
        <v>8</v>
      </c>
      <c r="DE10" s="25" t="s">
        <v>8</v>
      </c>
      <c r="DF10" s="30">
        <f t="shared" si="174"/>
        <v>0.7786131221022986</v>
      </c>
      <c r="DG10" s="28">
        <f t="shared" si="175"/>
        <v>1.2406885148969371E-2</v>
      </c>
      <c r="DH10" s="46">
        <f t="shared" si="176"/>
        <v>112991.84513648917</v>
      </c>
      <c r="DI10" s="113">
        <f t="shared" si="177"/>
        <v>0</v>
      </c>
      <c r="DJ10" s="69" t="s">
        <v>8</v>
      </c>
      <c r="DK10" s="25" t="s">
        <v>8</v>
      </c>
      <c r="DL10" s="30">
        <f t="shared" si="178"/>
        <v>0.7786131221022986</v>
      </c>
      <c r="DM10" s="28">
        <f t="shared" si="179"/>
        <v>1.2406885148969371E-2</v>
      </c>
      <c r="DN10" s="46">
        <f t="shared" si="180"/>
        <v>112991.84513648917</v>
      </c>
      <c r="DO10" s="113">
        <f t="shared" si="181"/>
        <v>0</v>
      </c>
      <c r="DP10" s="69" t="s">
        <v>8</v>
      </c>
      <c r="DQ10" s="25" t="s">
        <v>8</v>
      </c>
      <c r="DR10" s="30">
        <f t="shared" si="182"/>
        <v>0.7786131221022986</v>
      </c>
      <c r="DS10" s="28">
        <f t="shared" si="183"/>
        <v>1.2406885148969371E-2</v>
      </c>
      <c r="DT10" s="46">
        <f t="shared" si="184"/>
        <v>112991.84513648917</v>
      </c>
      <c r="DU10" s="113">
        <f t="shared" si="185"/>
        <v>0</v>
      </c>
      <c r="DV10" s="69" t="s">
        <v>8</v>
      </c>
      <c r="DW10" s="25" t="s">
        <v>8</v>
      </c>
      <c r="DX10" s="30">
        <f t="shared" si="186"/>
        <v>0.7786131221022986</v>
      </c>
      <c r="DY10" s="28">
        <f t="shared" si="187"/>
        <v>1.2406885148969371E-2</v>
      </c>
      <c r="DZ10" s="29">
        <f t="shared" si="188"/>
        <v>112991.84513648917</v>
      </c>
      <c r="EA10" s="73">
        <f t="shared" si="189"/>
        <v>0</v>
      </c>
      <c r="EB10" s="69" t="s">
        <v>8</v>
      </c>
      <c r="EC10" s="25" t="s">
        <v>8</v>
      </c>
      <c r="ED10" s="30">
        <f t="shared" si="190"/>
        <v>0.7786131221022986</v>
      </c>
      <c r="EE10" s="28">
        <f t="shared" si="191"/>
        <v>1.2406885148969371E-2</v>
      </c>
      <c r="EF10" s="29">
        <f t="shared" si="192"/>
        <v>112991.84513648917</v>
      </c>
      <c r="EG10" s="73">
        <f t="shared" si="193"/>
        <v>0</v>
      </c>
      <c r="EH10" s="69" t="s">
        <v>8</v>
      </c>
      <c r="EI10" s="25" t="s">
        <v>8</v>
      </c>
      <c r="EJ10" s="30">
        <f t="shared" si="194"/>
        <v>0.7786131221022986</v>
      </c>
      <c r="EK10" s="28">
        <f t="shared" si="195"/>
        <v>1.2406885148969371E-2</v>
      </c>
      <c r="EL10" s="29">
        <f t="shared" si="196"/>
        <v>112991.84513648917</v>
      </c>
      <c r="EM10" s="73">
        <f t="shared" si="197"/>
        <v>0</v>
      </c>
      <c r="EN10" s="69" t="s">
        <v>8</v>
      </c>
      <c r="EO10" s="25" t="s">
        <v>8</v>
      </c>
      <c r="EP10" s="30">
        <f t="shared" si="198"/>
        <v>0.7786131221022986</v>
      </c>
      <c r="EQ10" s="28">
        <f t="shared" si="199"/>
        <v>1.2406885148969371E-2</v>
      </c>
      <c r="ER10" s="29">
        <f t="shared" si="200"/>
        <v>112991.84513648917</v>
      </c>
      <c r="ES10" s="73">
        <f t="shared" si="201"/>
        <v>0</v>
      </c>
      <c r="ET10" s="69" t="s">
        <v>8</v>
      </c>
      <c r="EU10" s="25" t="s">
        <v>8</v>
      </c>
      <c r="EV10" s="30">
        <f t="shared" si="202"/>
        <v>0.7786131221022986</v>
      </c>
      <c r="EW10" s="28">
        <f t="shared" si="203"/>
        <v>1.2406885148969371E-2</v>
      </c>
      <c r="EX10" s="29">
        <f t="shared" si="204"/>
        <v>112991.84513648917</v>
      </c>
      <c r="EY10" s="73">
        <f t="shared" si="205"/>
        <v>0</v>
      </c>
      <c r="EZ10" s="69" t="s">
        <v>8</v>
      </c>
      <c r="FA10" s="25" t="s">
        <v>8</v>
      </c>
      <c r="FB10" s="30">
        <f t="shared" si="206"/>
        <v>0.7786131221022986</v>
      </c>
      <c r="FC10" s="28">
        <f t="shared" si="207"/>
        <v>1.2406885148969371E-2</v>
      </c>
      <c r="FD10" s="29">
        <f t="shared" si="208"/>
        <v>112991.84513648917</v>
      </c>
      <c r="FE10" s="73">
        <f t="shared" si="209"/>
        <v>0</v>
      </c>
      <c r="FF10" s="69" t="s">
        <v>8</v>
      </c>
      <c r="FG10" s="25" t="s">
        <v>8</v>
      </c>
      <c r="FH10" s="30">
        <f t="shared" si="210"/>
        <v>0.7786131221022986</v>
      </c>
      <c r="FI10" s="28">
        <f t="shared" si="211"/>
        <v>1.2406885148969371E-2</v>
      </c>
      <c r="FJ10" s="29">
        <f t="shared" si="212"/>
        <v>112991.84513648917</v>
      </c>
      <c r="FK10" s="73">
        <f t="shared" si="213"/>
        <v>0</v>
      </c>
      <c r="FL10" s="69" t="s">
        <v>8</v>
      </c>
      <c r="FM10" s="25" t="s">
        <v>8</v>
      </c>
      <c r="FN10" s="30">
        <f t="shared" si="214"/>
        <v>0.7786131221022986</v>
      </c>
      <c r="FO10" s="28">
        <f t="shared" si="215"/>
        <v>1.2406885148969371E-2</v>
      </c>
      <c r="FP10" s="29">
        <f t="shared" si="216"/>
        <v>112991.84513648917</v>
      </c>
      <c r="FQ10" s="73">
        <f t="shared" si="217"/>
        <v>0</v>
      </c>
      <c r="FR10" s="69" t="s">
        <v>8</v>
      </c>
      <c r="FS10" s="25" t="s">
        <v>8</v>
      </c>
      <c r="FT10" s="30">
        <f t="shared" si="218"/>
        <v>0.7786131221022986</v>
      </c>
      <c r="FU10" s="28">
        <f t="shared" si="219"/>
        <v>1.2406885148969371E-2</v>
      </c>
      <c r="FV10" s="29">
        <f t="shared" si="220"/>
        <v>112991.84513648917</v>
      </c>
      <c r="FW10" s="73">
        <f t="shared" si="221"/>
        <v>0</v>
      </c>
      <c r="FX10" s="69" t="s">
        <v>8</v>
      </c>
      <c r="FY10" s="25" t="s">
        <v>8</v>
      </c>
      <c r="FZ10" s="30">
        <f t="shared" si="222"/>
        <v>0.7786131221022986</v>
      </c>
      <c r="GA10" s="28">
        <f t="shared" si="223"/>
        <v>1.2406885148969371E-2</v>
      </c>
      <c r="GB10" s="29">
        <f t="shared" si="224"/>
        <v>112991.84513648917</v>
      </c>
      <c r="GC10" s="73">
        <f t="shared" si="225"/>
        <v>0</v>
      </c>
      <c r="GD10" s="69" t="s">
        <v>8</v>
      </c>
      <c r="GE10" s="25" t="s">
        <v>8</v>
      </c>
      <c r="GF10" s="30">
        <f t="shared" si="226"/>
        <v>0.7786131221022986</v>
      </c>
      <c r="GG10" s="28">
        <f t="shared" si="227"/>
        <v>1.2406885148969371E-2</v>
      </c>
      <c r="GH10" s="29">
        <f t="shared" si="228"/>
        <v>112991.84513648917</v>
      </c>
      <c r="GI10" s="113">
        <f t="shared" si="229"/>
        <v>0</v>
      </c>
      <c r="GJ10" s="69" t="s">
        <v>8</v>
      </c>
      <c r="GK10" s="25" t="s">
        <v>8</v>
      </c>
      <c r="GL10" s="30">
        <f t="shared" si="230"/>
        <v>0.7786131221022986</v>
      </c>
      <c r="GM10" s="28">
        <f t="shared" si="231"/>
        <v>1.2406885148969371E-2</v>
      </c>
      <c r="GN10" s="29">
        <f t="shared" si="232"/>
        <v>112991.84513648917</v>
      </c>
      <c r="GO10" s="113">
        <f t="shared" si="233"/>
        <v>0</v>
      </c>
      <c r="GP10" s="215">
        <f t="shared" si="234"/>
        <v>2066375.0745203013</v>
      </c>
      <c r="GQ10" s="238">
        <f t="shared" si="235"/>
        <v>2143162.8638108736</v>
      </c>
      <c r="GR10" s="196">
        <f t="shared" si="236"/>
        <v>0.77861312210229883</v>
      </c>
      <c r="GS10" s="242">
        <v>2143162.86</v>
      </c>
    </row>
    <row r="11" spans="1:201" s="20" customFormat="1" ht="31.5" x14ac:dyDescent="0.25">
      <c r="A11" s="159" t="s">
        <v>174</v>
      </c>
      <c r="B11" s="130" t="s">
        <v>8</v>
      </c>
      <c r="C11" s="130" t="s">
        <v>8</v>
      </c>
      <c r="D11" s="130" t="s">
        <v>8</v>
      </c>
      <c r="E11" s="130" t="s">
        <v>8</v>
      </c>
      <c r="F11" s="130" t="s">
        <v>8</v>
      </c>
      <c r="G11" s="95">
        <f>'Исходные данные'!C13</f>
        <v>392</v>
      </c>
      <c r="H11" s="26">
        <f>'Исходные данные'!D13</f>
        <v>527763</v>
      </c>
      <c r="I11" s="27">
        <f>'Расчет КРП'!G9</f>
        <v>4.3953971848734499</v>
      </c>
      <c r="J11" s="102" t="s">
        <v>8</v>
      </c>
      <c r="K11" s="106">
        <f t="shared" si="109"/>
        <v>0.18283719430680526</v>
      </c>
      <c r="L11" s="70">
        <f t="shared" si="237"/>
        <v>43624.367249136754</v>
      </c>
      <c r="M11" s="66">
        <f t="shared" si="110"/>
        <v>0.19795033583291041</v>
      </c>
      <c r="N11" s="25" t="s">
        <v>8</v>
      </c>
      <c r="O11" s="28">
        <f t="shared" si="111"/>
        <v>7.6656882189189507E-2</v>
      </c>
      <c r="P11" s="29">
        <f t="shared" si="112"/>
        <v>235970.21493577072</v>
      </c>
      <c r="Q11" s="73">
        <f t="shared" si="113"/>
        <v>235970.21493577072</v>
      </c>
      <c r="R11" s="135" t="s">
        <v>8</v>
      </c>
      <c r="S11" s="25" t="s">
        <v>8</v>
      </c>
      <c r="T11" s="30">
        <f t="shared" si="114"/>
        <v>0.279699401301369</v>
      </c>
      <c r="U11" s="28">
        <f t="shared" si="115"/>
        <v>7.0732340175727548E-2</v>
      </c>
      <c r="V11" s="46">
        <f t="shared" si="116"/>
        <v>249196.91550261955</v>
      </c>
      <c r="W11" s="73">
        <f t="shared" si="117"/>
        <v>249196.91550261955</v>
      </c>
      <c r="X11" s="69" t="s">
        <v>8</v>
      </c>
      <c r="Y11" s="25" t="s">
        <v>8</v>
      </c>
      <c r="Z11" s="30">
        <f t="shared" si="118"/>
        <v>0.36603069936585814</v>
      </c>
      <c r="AA11" s="28">
        <f t="shared" si="119"/>
        <v>4.8836164988099506E-2</v>
      </c>
      <c r="AB11" s="46">
        <f t="shared" si="120"/>
        <v>190397.77486044628</v>
      </c>
      <c r="AC11" s="73">
        <f t="shared" si="121"/>
        <v>190397.77486044628</v>
      </c>
      <c r="AD11" s="69" t="s">
        <v>8</v>
      </c>
      <c r="AE11" s="25" t="s">
        <v>8</v>
      </c>
      <c r="AF11" s="30">
        <f t="shared" si="122"/>
        <v>0.43199173672115354</v>
      </c>
      <c r="AG11" s="28">
        <f t="shared" si="123"/>
        <v>3.9674871258442435E-2</v>
      </c>
      <c r="AH11" s="46">
        <f t="shared" si="124"/>
        <v>167975.69096512013</v>
      </c>
      <c r="AI11" s="73">
        <f t="shared" si="125"/>
        <v>167975.69096512013</v>
      </c>
      <c r="AJ11" s="69" t="s">
        <v>8</v>
      </c>
      <c r="AK11" s="25" t="s">
        <v>8</v>
      </c>
      <c r="AL11" s="30">
        <f t="shared" si="126"/>
        <v>0.49018491064166242</v>
      </c>
      <c r="AM11" s="28">
        <f t="shared" si="127"/>
        <v>3.36381165309943E-2</v>
      </c>
      <c r="AN11" s="46">
        <f t="shared" si="128"/>
        <v>152793.35531853596</v>
      </c>
      <c r="AO11" s="73">
        <f t="shared" si="129"/>
        <v>152793.35531853596</v>
      </c>
      <c r="AP11" s="69" t="s">
        <v>8</v>
      </c>
      <c r="AQ11" s="25" t="s">
        <v>8</v>
      </c>
      <c r="AR11" s="30">
        <f t="shared" si="130"/>
        <v>0.54311834552657079</v>
      </c>
      <c r="AS11" s="28">
        <f t="shared" si="131"/>
        <v>2.7541721901465754E-2</v>
      </c>
      <c r="AT11" s="46">
        <f t="shared" si="132"/>
        <v>132725.4605614992</v>
      </c>
      <c r="AU11" s="73">
        <f t="shared" si="133"/>
        <v>132725.4605614992</v>
      </c>
      <c r="AV11" s="69" t="s">
        <v>8</v>
      </c>
      <c r="AW11" s="25" t="s">
        <v>8</v>
      </c>
      <c r="AX11" s="30">
        <f t="shared" si="134"/>
        <v>0.58909949771447156</v>
      </c>
      <c r="AY11" s="28">
        <f t="shared" si="135"/>
        <v>2.2563487847414909E-2</v>
      </c>
      <c r="AZ11" s="46">
        <f t="shared" si="136"/>
        <v>114205.05736280828</v>
      </c>
      <c r="BA11" s="73">
        <f t="shared" si="137"/>
        <v>114205.05736280828</v>
      </c>
      <c r="BB11" s="69" t="s">
        <v>8</v>
      </c>
      <c r="BC11" s="25" t="s">
        <v>8</v>
      </c>
      <c r="BD11" s="30">
        <f t="shared" si="138"/>
        <v>0.62866447719174379</v>
      </c>
      <c r="BE11" s="28">
        <f t="shared" si="139"/>
        <v>2.0828913625875578E-2</v>
      </c>
      <c r="BF11" s="46">
        <f t="shared" si="140"/>
        <v>113222.19458840093</v>
      </c>
      <c r="BG11" s="73">
        <f t="shared" si="141"/>
        <v>113222.19458840093</v>
      </c>
      <c r="BH11" s="69" t="s">
        <v>8</v>
      </c>
      <c r="BI11" s="25" t="s">
        <v>8</v>
      </c>
      <c r="BJ11" s="30">
        <f t="shared" si="142"/>
        <v>0.66788895558792238</v>
      </c>
      <c r="BK11" s="28">
        <f t="shared" si="143"/>
        <v>1.8274718467642614E-2</v>
      </c>
      <c r="BL11" s="46">
        <f t="shared" si="144"/>
        <v>105030.18505500135</v>
      </c>
      <c r="BM11" s="73">
        <f t="shared" si="145"/>
        <v>105030.18505500135</v>
      </c>
      <c r="BN11" s="69" t="s">
        <v>8</v>
      </c>
      <c r="BO11" s="25" t="s">
        <v>8</v>
      </c>
      <c r="BP11" s="30">
        <f t="shared" si="146"/>
        <v>0.70427541002482108</v>
      </c>
      <c r="BQ11" s="28">
        <f t="shared" si="147"/>
        <v>1.6603470283336308E-2</v>
      </c>
      <c r="BR11" s="46">
        <f t="shared" si="148"/>
        <v>101050.5683775924</v>
      </c>
      <c r="BS11" s="113">
        <f t="shared" si="149"/>
        <v>101050.5683775924</v>
      </c>
      <c r="BT11" s="69" t="s">
        <v>8</v>
      </c>
      <c r="BU11" s="25" t="s">
        <v>8</v>
      </c>
      <c r="BV11" s="30">
        <f t="shared" si="150"/>
        <v>0.73928317374692176</v>
      </c>
      <c r="BW11" s="28">
        <f t="shared" si="151"/>
        <v>1.429103417539046E-2</v>
      </c>
      <c r="BX11" s="46">
        <f t="shared" si="152"/>
        <v>90916.098619425233</v>
      </c>
      <c r="BY11" s="113">
        <f t="shared" si="153"/>
        <v>90916.098619425233</v>
      </c>
      <c r="BZ11" s="69" t="s">
        <v>8</v>
      </c>
      <c r="CA11" s="25" t="s">
        <v>8</v>
      </c>
      <c r="CB11" s="30">
        <f t="shared" si="154"/>
        <v>0.77077997134147935</v>
      </c>
      <c r="CC11" s="28">
        <f t="shared" si="155"/>
        <v>1.2967091035096967E-2</v>
      </c>
      <c r="CD11" s="46">
        <f t="shared" si="156"/>
        <v>86410.253977037966</v>
      </c>
      <c r="CE11" s="113">
        <f t="shared" si="157"/>
        <v>22658.843326706956</v>
      </c>
      <c r="CF11" s="69" t="s">
        <v>8</v>
      </c>
      <c r="CG11" s="25" t="s">
        <v>8</v>
      </c>
      <c r="CH11" s="30">
        <f t="shared" si="158"/>
        <v>0.77862985725635514</v>
      </c>
      <c r="CI11" s="28">
        <f t="shared" si="159"/>
        <v>1.2390149994912836E-2</v>
      </c>
      <c r="CJ11" s="46">
        <f t="shared" si="160"/>
        <v>83279.739326077601</v>
      </c>
      <c r="CK11" s="113">
        <f t="shared" si="161"/>
        <v>0</v>
      </c>
      <c r="CL11" s="69" t="s">
        <v>8</v>
      </c>
      <c r="CM11" s="25" t="s">
        <v>8</v>
      </c>
      <c r="CN11" s="30">
        <f t="shared" si="162"/>
        <v>0.77862985725635514</v>
      </c>
      <c r="CO11" s="28">
        <f t="shared" si="163"/>
        <v>1.2390149994912836E-2</v>
      </c>
      <c r="CP11" s="46">
        <f t="shared" si="164"/>
        <v>83279.739326077601</v>
      </c>
      <c r="CQ11" s="113">
        <f t="shared" si="165"/>
        <v>0</v>
      </c>
      <c r="CR11" s="69" t="s">
        <v>8</v>
      </c>
      <c r="CS11" s="25" t="s">
        <v>8</v>
      </c>
      <c r="CT11" s="30">
        <f t="shared" si="166"/>
        <v>0.77862985725635514</v>
      </c>
      <c r="CU11" s="28">
        <f t="shared" si="167"/>
        <v>1.2390149994912836E-2</v>
      </c>
      <c r="CV11" s="46">
        <f t="shared" si="168"/>
        <v>83279.739326077601</v>
      </c>
      <c r="CW11" s="113">
        <f t="shared" si="169"/>
        <v>0</v>
      </c>
      <c r="CX11" s="69" t="s">
        <v>8</v>
      </c>
      <c r="CY11" s="25" t="s">
        <v>8</v>
      </c>
      <c r="CZ11" s="30">
        <f t="shared" si="170"/>
        <v>0.77862985725635514</v>
      </c>
      <c r="DA11" s="28">
        <f t="shared" si="171"/>
        <v>1.2390149994912836E-2</v>
      </c>
      <c r="DB11" s="46">
        <f t="shared" si="172"/>
        <v>83279.739326077601</v>
      </c>
      <c r="DC11" s="113">
        <f t="shared" si="173"/>
        <v>0</v>
      </c>
      <c r="DD11" s="69" t="s">
        <v>8</v>
      </c>
      <c r="DE11" s="25" t="s">
        <v>8</v>
      </c>
      <c r="DF11" s="30">
        <f t="shared" si="174"/>
        <v>0.77862985725635514</v>
      </c>
      <c r="DG11" s="28">
        <f t="shared" si="175"/>
        <v>1.2390149994912836E-2</v>
      </c>
      <c r="DH11" s="46">
        <f t="shared" si="176"/>
        <v>83279.739326077601</v>
      </c>
      <c r="DI11" s="113">
        <f t="shared" si="177"/>
        <v>0</v>
      </c>
      <c r="DJ11" s="69" t="s">
        <v>8</v>
      </c>
      <c r="DK11" s="25" t="s">
        <v>8</v>
      </c>
      <c r="DL11" s="30">
        <f t="shared" si="178"/>
        <v>0.77862985725635514</v>
      </c>
      <c r="DM11" s="28">
        <f t="shared" si="179"/>
        <v>1.2390149994912836E-2</v>
      </c>
      <c r="DN11" s="46">
        <f t="shared" si="180"/>
        <v>83279.739326077601</v>
      </c>
      <c r="DO11" s="113">
        <f t="shared" si="181"/>
        <v>0</v>
      </c>
      <c r="DP11" s="69" t="s">
        <v>8</v>
      </c>
      <c r="DQ11" s="25" t="s">
        <v>8</v>
      </c>
      <c r="DR11" s="30">
        <f t="shared" si="182"/>
        <v>0.77862985725635514</v>
      </c>
      <c r="DS11" s="28">
        <f t="shared" si="183"/>
        <v>1.2390149994912836E-2</v>
      </c>
      <c r="DT11" s="46">
        <f t="shared" si="184"/>
        <v>83279.739326077601</v>
      </c>
      <c r="DU11" s="113">
        <f t="shared" si="185"/>
        <v>0</v>
      </c>
      <c r="DV11" s="69" t="s">
        <v>8</v>
      </c>
      <c r="DW11" s="25" t="s">
        <v>8</v>
      </c>
      <c r="DX11" s="30">
        <f t="shared" si="186"/>
        <v>0.77862985725635514</v>
      </c>
      <c r="DY11" s="28">
        <f t="shared" si="187"/>
        <v>1.2390149994912836E-2</v>
      </c>
      <c r="DZ11" s="29">
        <f t="shared" si="188"/>
        <v>83279.739326077601</v>
      </c>
      <c r="EA11" s="73">
        <f t="shared" si="189"/>
        <v>0</v>
      </c>
      <c r="EB11" s="69" t="s">
        <v>8</v>
      </c>
      <c r="EC11" s="25" t="s">
        <v>8</v>
      </c>
      <c r="ED11" s="30">
        <f t="shared" si="190"/>
        <v>0.77862985725635514</v>
      </c>
      <c r="EE11" s="28">
        <f t="shared" si="191"/>
        <v>1.2390149994912836E-2</v>
      </c>
      <c r="EF11" s="29">
        <f t="shared" si="192"/>
        <v>83279.739326077601</v>
      </c>
      <c r="EG11" s="73">
        <f t="shared" si="193"/>
        <v>0</v>
      </c>
      <c r="EH11" s="69" t="s">
        <v>8</v>
      </c>
      <c r="EI11" s="25" t="s">
        <v>8</v>
      </c>
      <c r="EJ11" s="30">
        <f t="shared" si="194"/>
        <v>0.77862985725635514</v>
      </c>
      <c r="EK11" s="28">
        <f t="shared" si="195"/>
        <v>1.2390149994912836E-2</v>
      </c>
      <c r="EL11" s="29">
        <f t="shared" si="196"/>
        <v>83279.739326077601</v>
      </c>
      <c r="EM11" s="73">
        <f t="shared" si="197"/>
        <v>0</v>
      </c>
      <c r="EN11" s="69" t="s">
        <v>8</v>
      </c>
      <c r="EO11" s="25" t="s">
        <v>8</v>
      </c>
      <c r="EP11" s="30">
        <f t="shared" si="198"/>
        <v>0.77862985725635514</v>
      </c>
      <c r="EQ11" s="28">
        <f t="shared" si="199"/>
        <v>1.2390149994912836E-2</v>
      </c>
      <c r="ER11" s="29">
        <f t="shared" si="200"/>
        <v>83279.739326077601</v>
      </c>
      <c r="ES11" s="73">
        <f t="shared" si="201"/>
        <v>0</v>
      </c>
      <c r="ET11" s="69" t="s">
        <v>8</v>
      </c>
      <c r="EU11" s="25" t="s">
        <v>8</v>
      </c>
      <c r="EV11" s="30">
        <f t="shared" si="202"/>
        <v>0.77862985725635514</v>
      </c>
      <c r="EW11" s="28">
        <f t="shared" si="203"/>
        <v>1.2390149994912836E-2</v>
      </c>
      <c r="EX11" s="29">
        <f t="shared" si="204"/>
        <v>83279.739326077601</v>
      </c>
      <c r="EY11" s="73">
        <f t="shared" si="205"/>
        <v>0</v>
      </c>
      <c r="EZ11" s="69" t="s">
        <v>8</v>
      </c>
      <c r="FA11" s="25" t="s">
        <v>8</v>
      </c>
      <c r="FB11" s="30">
        <f t="shared" si="206"/>
        <v>0.77862985725635514</v>
      </c>
      <c r="FC11" s="28">
        <f t="shared" si="207"/>
        <v>1.2390149994912836E-2</v>
      </c>
      <c r="FD11" s="29">
        <f t="shared" si="208"/>
        <v>83279.739326077601</v>
      </c>
      <c r="FE11" s="73">
        <f t="shared" si="209"/>
        <v>0</v>
      </c>
      <c r="FF11" s="69" t="s">
        <v>8</v>
      </c>
      <c r="FG11" s="25" t="s">
        <v>8</v>
      </c>
      <c r="FH11" s="30">
        <f t="shared" si="210"/>
        <v>0.77862985725635514</v>
      </c>
      <c r="FI11" s="28">
        <f t="shared" si="211"/>
        <v>1.2390149994912836E-2</v>
      </c>
      <c r="FJ11" s="29">
        <f t="shared" si="212"/>
        <v>83279.739326077601</v>
      </c>
      <c r="FK11" s="73">
        <f t="shared" si="213"/>
        <v>0</v>
      </c>
      <c r="FL11" s="69" t="s">
        <v>8</v>
      </c>
      <c r="FM11" s="25" t="s">
        <v>8</v>
      </c>
      <c r="FN11" s="30">
        <f t="shared" si="214"/>
        <v>0.77862985725635514</v>
      </c>
      <c r="FO11" s="28">
        <f t="shared" si="215"/>
        <v>1.2390149994912836E-2</v>
      </c>
      <c r="FP11" s="29">
        <f t="shared" si="216"/>
        <v>83279.739326077601</v>
      </c>
      <c r="FQ11" s="73">
        <f t="shared" si="217"/>
        <v>0</v>
      </c>
      <c r="FR11" s="69" t="s">
        <v>8</v>
      </c>
      <c r="FS11" s="25" t="s">
        <v>8</v>
      </c>
      <c r="FT11" s="30">
        <f t="shared" si="218"/>
        <v>0.77862985725635514</v>
      </c>
      <c r="FU11" s="28">
        <f t="shared" si="219"/>
        <v>1.2390149994912836E-2</v>
      </c>
      <c r="FV11" s="29">
        <f t="shared" si="220"/>
        <v>83279.739326077601</v>
      </c>
      <c r="FW11" s="73">
        <f t="shared" si="221"/>
        <v>0</v>
      </c>
      <c r="FX11" s="69" t="s">
        <v>8</v>
      </c>
      <c r="FY11" s="25" t="s">
        <v>8</v>
      </c>
      <c r="FZ11" s="30">
        <f t="shared" si="222"/>
        <v>0.77862985725635514</v>
      </c>
      <c r="GA11" s="28">
        <f t="shared" si="223"/>
        <v>1.2390149994912836E-2</v>
      </c>
      <c r="GB11" s="29">
        <f t="shared" si="224"/>
        <v>83279.739326077601</v>
      </c>
      <c r="GC11" s="73">
        <f t="shared" si="225"/>
        <v>0</v>
      </c>
      <c r="GD11" s="69" t="s">
        <v>8</v>
      </c>
      <c r="GE11" s="25" t="s">
        <v>8</v>
      </c>
      <c r="GF11" s="30">
        <f t="shared" si="226"/>
        <v>0.77862985725635514</v>
      </c>
      <c r="GG11" s="28">
        <f t="shared" si="227"/>
        <v>1.2390149994912836E-2</v>
      </c>
      <c r="GH11" s="29">
        <f t="shared" si="228"/>
        <v>83279.739326077601</v>
      </c>
      <c r="GI11" s="113">
        <f t="shared" si="229"/>
        <v>0</v>
      </c>
      <c r="GJ11" s="69" t="s">
        <v>8</v>
      </c>
      <c r="GK11" s="25" t="s">
        <v>8</v>
      </c>
      <c r="GL11" s="30">
        <f t="shared" si="230"/>
        <v>0.77862985725635514</v>
      </c>
      <c r="GM11" s="28">
        <f t="shared" si="231"/>
        <v>1.2390149994912836E-2</v>
      </c>
      <c r="GN11" s="29">
        <f t="shared" si="232"/>
        <v>83279.739326077601</v>
      </c>
      <c r="GO11" s="113">
        <f t="shared" si="233"/>
        <v>0</v>
      </c>
      <c r="GP11" s="215">
        <f t="shared" si="234"/>
        <v>1676142.3594739269</v>
      </c>
      <c r="GQ11" s="238">
        <f t="shared" si="235"/>
        <v>1719766.7267230637</v>
      </c>
      <c r="GR11" s="196">
        <f t="shared" si="236"/>
        <v>0.77862985725635503</v>
      </c>
      <c r="GS11" s="242">
        <v>1719766.73</v>
      </c>
    </row>
    <row r="12" spans="1:201" s="20" customFormat="1" x14ac:dyDescent="0.25">
      <c r="A12" s="159" t="s">
        <v>175</v>
      </c>
      <c r="B12" s="130" t="s">
        <v>8</v>
      </c>
      <c r="C12" s="130" t="s">
        <v>8</v>
      </c>
      <c r="D12" s="130" t="s">
        <v>8</v>
      </c>
      <c r="E12" s="130" t="s">
        <v>8</v>
      </c>
      <c r="F12" s="130" t="s">
        <v>8</v>
      </c>
      <c r="G12" s="95">
        <f>'Исходные данные'!C14</f>
        <v>436</v>
      </c>
      <c r="H12" s="26">
        <f>'Исходные данные'!D14</f>
        <v>718083</v>
      </c>
      <c r="I12" s="27">
        <f>'Расчет КРП'!G10</f>
        <v>4.2706601759906979</v>
      </c>
      <c r="J12" s="102" t="s">
        <v>8</v>
      </c>
      <c r="K12" s="106">
        <f t="shared" si="109"/>
        <v>0.23019873992711654</v>
      </c>
      <c r="L12" s="70">
        <f t="shared" si="237"/>
        <v>48520.979899550068</v>
      </c>
      <c r="M12" s="66">
        <f t="shared" si="110"/>
        <v>0.2457533045567003</v>
      </c>
      <c r="N12" s="25" t="s">
        <v>8</v>
      </c>
      <c r="O12" s="28">
        <f t="shared" si="111"/>
        <v>2.8853913465399617E-2</v>
      </c>
      <c r="P12" s="29">
        <f t="shared" si="112"/>
        <v>95986.039681511917</v>
      </c>
      <c r="Q12" s="73">
        <f t="shared" si="113"/>
        <v>95986.039681511917</v>
      </c>
      <c r="R12" s="135" t="s">
        <v>8</v>
      </c>
      <c r="S12" s="25" t="s">
        <v>8</v>
      </c>
      <c r="T12" s="30">
        <f t="shared" si="114"/>
        <v>0.27652393327967273</v>
      </c>
      <c r="U12" s="28">
        <f t="shared" si="115"/>
        <v>7.3907808197423819E-2</v>
      </c>
      <c r="V12" s="46">
        <f t="shared" si="116"/>
        <v>281392.33958666463</v>
      </c>
      <c r="W12" s="73">
        <f t="shared" si="117"/>
        <v>281392.33958666463</v>
      </c>
      <c r="X12" s="69" t="s">
        <v>8</v>
      </c>
      <c r="Y12" s="25" t="s">
        <v>8</v>
      </c>
      <c r="Z12" s="30">
        <f t="shared" si="118"/>
        <v>0.36673100126205571</v>
      </c>
      <c r="AA12" s="28">
        <f t="shared" si="119"/>
        <v>4.8135863091901931E-2</v>
      </c>
      <c r="AB12" s="46">
        <f t="shared" si="120"/>
        <v>202808.61131276429</v>
      </c>
      <c r="AC12" s="73">
        <f t="shared" si="121"/>
        <v>202808.61131276429</v>
      </c>
      <c r="AD12" s="69" t="s">
        <v>8</v>
      </c>
      <c r="AE12" s="25" t="s">
        <v>8</v>
      </c>
      <c r="AF12" s="30">
        <f t="shared" si="122"/>
        <v>0.43174616910555946</v>
      </c>
      <c r="AG12" s="28">
        <f t="shared" si="123"/>
        <v>3.9920438874036512E-2</v>
      </c>
      <c r="AH12" s="46">
        <f t="shared" si="124"/>
        <v>182651.62021211811</v>
      </c>
      <c r="AI12" s="73">
        <f t="shared" si="125"/>
        <v>182651.62021211811</v>
      </c>
      <c r="AJ12" s="69" t="s">
        <v>8</v>
      </c>
      <c r="AK12" s="25" t="s">
        <v>8</v>
      </c>
      <c r="AL12" s="30">
        <f t="shared" si="126"/>
        <v>0.49029952967596113</v>
      </c>
      <c r="AM12" s="28">
        <f t="shared" si="127"/>
        <v>3.3523497496695587E-2</v>
      </c>
      <c r="AN12" s="46">
        <f t="shared" si="128"/>
        <v>164558.16323691051</v>
      </c>
      <c r="AO12" s="73">
        <f t="shared" si="129"/>
        <v>164558.16323691051</v>
      </c>
      <c r="AP12" s="69" t="s">
        <v>8</v>
      </c>
      <c r="AQ12" s="25" t="s">
        <v>8</v>
      </c>
      <c r="AR12" s="30">
        <f t="shared" si="130"/>
        <v>0.54305259836280872</v>
      </c>
      <c r="AS12" s="28">
        <f t="shared" si="131"/>
        <v>2.7607469065227819E-2</v>
      </c>
      <c r="AT12" s="46">
        <f t="shared" si="132"/>
        <v>143776.21894314387</v>
      </c>
      <c r="AU12" s="73">
        <f t="shared" si="133"/>
        <v>143776.21894314387</v>
      </c>
      <c r="AV12" s="69" t="s">
        <v>8</v>
      </c>
      <c r="AW12" s="25" t="s">
        <v>8</v>
      </c>
      <c r="AX12" s="30">
        <f t="shared" si="134"/>
        <v>0.58914351603137483</v>
      </c>
      <c r="AY12" s="28">
        <f t="shared" si="135"/>
        <v>2.2519469530511649E-2</v>
      </c>
      <c r="AZ12" s="46">
        <f t="shared" si="136"/>
        <v>123178.40341968059</v>
      </c>
      <c r="BA12" s="73">
        <f t="shared" si="137"/>
        <v>123178.40341968059</v>
      </c>
      <c r="BB12" s="69" t="s">
        <v>8</v>
      </c>
      <c r="BC12" s="25" t="s">
        <v>8</v>
      </c>
      <c r="BD12" s="30">
        <f t="shared" si="138"/>
        <v>0.62863130957814384</v>
      </c>
      <c r="BE12" s="28">
        <f t="shared" si="139"/>
        <v>2.0862081239475527E-2</v>
      </c>
      <c r="BF12" s="46">
        <f t="shared" si="140"/>
        <v>122551.85620390331</v>
      </c>
      <c r="BG12" s="73">
        <f t="shared" si="141"/>
        <v>122551.85620390331</v>
      </c>
      <c r="BH12" s="69" t="s">
        <v>8</v>
      </c>
      <c r="BI12" s="25" t="s">
        <v>8</v>
      </c>
      <c r="BJ12" s="30">
        <f t="shared" si="142"/>
        <v>0.66791824837751346</v>
      </c>
      <c r="BK12" s="28">
        <f t="shared" si="143"/>
        <v>1.8245425678051541E-2</v>
      </c>
      <c r="BL12" s="46">
        <f t="shared" si="144"/>
        <v>113322.13485665973</v>
      </c>
      <c r="BM12" s="73">
        <f t="shared" si="145"/>
        <v>113322.13485665973</v>
      </c>
      <c r="BN12" s="69" t="s">
        <v>8</v>
      </c>
      <c r="BO12" s="25" t="s">
        <v>8</v>
      </c>
      <c r="BP12" s="30">
        <f t="shared" si="146"/>
        <v>0.70424637848204696</v>
      </c>
      <c r="BQ12" s="28">
        <f t="shared" si="147"/>
        <v>1.6632501826110424E-2</v>
      </c>
      <c r="BR12" s="46">
        <f t="shared" si="148"/>
        <v>109394.32250953536</v>
      </c>
      <c r="BS12" s="113">
        <f t="shared" si="149"/>
        <v>109394.32250953536</v>
      </c>
      <c r="BT12" s="69" t="s">
        <v>8</v>
      </c>
      <c r="BU12" s="25" t="s">
        <v>8</v>
      </c>
      <c r="BV12" s="30">
        <f t="shared" si="150"/>
        <v>0.73931535406965398</v>
      </c>
      <c r="BW12" s="28">
        <f t="shared" si="151"/>
        <v>1.4258853852658238E-2</v>
      </c>
      <c r="BX12" s="46">
        <f t="shared" si="152"/>
        <v>98030.013567431059</v>
      </c>
      <c r="BY12" s="113">
        <f t="shared" si="153"/>
        <v>98030.013567431059</v>
      </c>
      <c r="BZ12" s="69" t="s">
        <v>8</v>
      </c>
      <c r="CA12" s="25" t="s">
        <v>8</v>
      </c>
      <c r="CB12" s="30">
        <f t="shared" si="154"/>
        <v>0.77074122767794262</v>
      </c>
      <c r="CC12" s="28">
        <f t="shared" si="155"/>
        <v>1.30058346986337E-2</v>
      </c>
      <c r="CD12" s="46">
        <f t="shared" si="156"/>
        <v>93660.886379197342</v>
      </c>
      <c r="CE12" s="113">
        <f t="shared" si="157"/>
        <v>24560.133232228261</v>
      </c>
      <c r="CF12" s="69" t="s">
        <v>8</v>
      </c>
      <c r="CG12" s="25" t="s">
        <v>8</v>
      </c>
      <c r="CH12" s="30">
        <f t="shared" si="158"/>
        <v>0.77861456783848271</v>
      </c>
      <c r="CI12" s="28">
        <f t="shared" si="159"/>
        <v>1.2405439412785269E-2</v>
      </c>
      <c r="CJ12" s="46">
        <f t="shared" si="160"/>
        <v>90109.847965473047</v>
      </c>
      <c r="CK12" s="113">
        <f t="shared" si="161"/>
        <v>0</v>
      </c>
      <c r="CL12" s="69" t="s">
        <v>8</v>
      </c>
      <c r="CM12" s="25" t="s">
        <v>8</v>
      </c>
      <c r="CN12" s="30">
        <f t="shared" si="162"/>
        <v>0.77861456783848271</v>
      </c>
      <c r="CO12" s="28">
        <f t="shared" si="163"/>
        <v>1.2405439412785269E-2</v>
      </c>
      <c r="CP12" s="46">
        <f t="shared" si="164"/>
        <v>90109.847965473047</v>
      </c>
      <c r="CQ12" s="113">
        <f t="shared" si="165"/>
        <v>0</v>
      </c>
      <c r="CR12" s="69" t="s">
        <v>8</v>
      </c>
      <c r="CS12" s="25" t="s">
        <v>8</v>
      </c>
      <c r="CT12" s="30">
        <f t="shared" si="166"/>
        <v>0.77861456783848271</v>
      </c>
      <c r="CU12" s="28">
        <f t="shared" si="167"/>
        <v>1.2405439412785269E-2</v>
      </c>
      <c r="CV12" s="46">
        <f t="shared" si="168"/>
        <v>90109.847965473047</v>
      </c>
      <c r="CW12" s="113">
        <f t="shared" si="169"/>
        <v>0</v>
      </c>
      <c r="CX12" s="69" t="s">
        <v>8</v>
      </c>
      <c r="CY12" s="25" t="s">
        <v>8</v>
      </c>
      <c r="CZ12" s="30">
        <f t="shared" si="170"/>
        <v>0.77861456783848271</v>
      </c>
      <c r="DA12" s="28">
        <f t="shared" si="171"/>
        <v>1.2405439412785269E-2</v>
      </c>
      <c r="DB12" s="46">
        <f t="shared" si="172"/>
        <v>90109.847965473047</v>
      </c>
      <c r="DC12" s="113">
        <f t="shared" si="173"/>
        <v>0</v>
      </c>
      <c r="DD12" s="69" t="s">
        <v>8</v>
      </c>
      <c r="DE12" s="25" t="s">
        <v>8</v>
      </c>
      <c r="DF12" s="30">
        <f t="shared" si="174"/>
        <v>0.77861456783848271</v>
      </c>
      <c r="DG12" s="28">
        <f t="shared" si="175"/>
        <v>1.2405439412785269E-2</v>
      </c>
      <c r="DH12" s="46">
        <f t="shared" si="176"/>
        <v>90109.847965473047</v>
      </c>
      <c r="DI12" s="113">
        <f t="shared" si="177"/>
        <v>0</v>
      </c>
      <c r="DJ12" s="69" t="s">
        <v>8</v>
      </c>
      <c r="DK12" s="25" t="s">
        <v>8</v>
      </c>
      <c r="DL12" s="30">
        <f t="shared" si="178"/>
        <v>0.77861456783848271</v>
      </c>
      <c r="DM12" s="28">
        <f t="shared" si="179"/>
        <v>1.2405439412785269E-2</v>
      </c>
      <c r="DN12" s="46">
        <f t="shared" si="180"/>
        <v>90109.847965473047</v>
      </c>
      <c r="DO12" s="113">
        <f t="shared" si="181"/>
        <v>0</v>
      </c>
      <c r="DP12" s="69" t="s">
        <v>8</v>
      </c>
      <c r="DQ12" s="25" t="s">
        <v>8</v>
      </c>
      <c r="DR12" s="30">
        <f t="shared" si="182"/>
        <v>0.77861456783848271</v>
      </c>
      <c r="DS12" s="28">
        <f t="shared" si="183"/>
        <v>1.2405439412785269E-2</v>
      </c>
      <c r="DT12" s="46">
        <f t="shared" si="184"/>
        <v>90109.847965473047</v>
      </c>
      <c r="DU12" s="113">
        <f t="shared" si="185"/>
        <v>0</v>
      </c>
      <c r="DV12" s="69" t="s">
        <v>8</v>
      </c>
      <c r="DW12" s="25" t="s">
        <v>8</v>
      </c>
      <c r="DX12" s="30">
        <f t="shared" si="186"/>
        <v>0.77861456783848271</v>
      </c>
      <c r="DY12" s="28">
        <f t="shared" si="187"/>
        <v>1.2405439412785269E-2</v>
      </c>
      <c r="DZ12" s="29">
        <f t="shared" si="188"/>
        <v>90109.847965473047</v>
      </c>
      <c r="EA12" s="73">
        <f t="shared" si="189"/>
        <v>0</v>
      </c>
      <c r="EB12" s="69" t="s">
        <v>8</v>
      </c>
      <c r="EC12" s="25" t="s">
        <v>8</v>
      </c>
      <c r="ED12" s="30">
        <f t="shared" si="190"/>
        <v>0.77861456783848271</v>
      </c>
      <c r="EE12" s="28">
        <f t="shared" si="191"/>
        <v>1.2405439412785269E-2</v>
      </c>
      <c r="EF12" s="29">
        <f t="shared" si="192"/>
        <v>90109.847965473047</v>
      </c>
      <c r="EG12" s="73">
        <f t="shared" si="193"/>
        <v>0</v>
      </c>
      <c r="EH12" s="69" t="s">
        <v>8</v>
      </c>
      <c r="EI12" s="25" t="s">
        <v>8</v>
      </c>
      <c r="EJ12" s="30">
        <f t="shared" si="194"/>
        <v>0.77861456783848271</v>
      </c>
      <c r="EK12" s="28">
        <f t="shared" si="195"/>
        <v>1.2405439412785269E-2</v>
      </c>
      <c r="EL12" s="29">
        <f t="shared" si="196"/>
        <v>90109.847965473047</v>
      </c>
      <c r="EM12" s="73">
        <f t="shared" si="197"/>
        <v>0</v>
      </c>
      <c r="EN12" s="69" t="s">
        <v>8</v>
      </c>
      <c r="EO12" s="25" t="s">
        <v>8</v>
      </c>
      <c r="EP12" s="30">
        <f t="shared" si="198"/>
        <v>0.77861456783848271</v>
      </c>
      <c r="EQ12" s="28">
        <f t="shared" si="199"/>
        <v>1.2405439412785269E-2</v>
      </c>
      <c r="ER12" s="29">
        <f t="shared" si="200"/>
        <v>90109.847965473047</v>
      </c>
      <c r="ES12" s="73">
        <f t="shared" si="201"/>
        <v>0</v>
      </c>
      <c r="ET12" s="69" t="s">
        <v>8</v>
      </c>
      <c r="EU12" s="25" t="s">
        <v>8</v>
      </c>
      <c r="EV12" s="30">
        <f t="shared" si="202"/>
        <v>0.77861456783848271</v>
      </c>
      <c r="EW12" s="28">
        <f t="shared" si="203"/>
        <v>1.2405439412785269E-2</v>
      </c>
      <c r="EX12" s="29">
        <f t="shared" si="204"/>
        <v>90109.847965473047</v>
      </c>
      <c r="EY12" s="73">
        <f t="shared" si="205"/>
        <v>0</v>
      </c>
      <c r="EZ12" s="69" t="s">
        <v>8</v>
      </c>
      <c r="FA12" s="25" t="s">
        <v>8</v>
      </c>
      <c r="FB12" s="30">
        <f t="shared" si="206"/>
        <v>0.77861456783848271</v>
      </c>
      <c r="FC12" s="28">
        <f t="shared" si="207"/>
        <v>1.2405439412785269E-2</v>
      </c>
      <c r="FD12" s="29">
        <f t="shared" si="208"/>
        <v>90109.847965473047</v>
      </c>
      <c r="FE12" s="73">
        <f t="shared" si="209"/>
        <v>0</v>
      </c>
      <c r="FF12" s="69" t="s">
        <v>8</v>
      </c>
      <c r="FG12" s="25" t="s">
        <v>8</v>
      </c>
      <c r="FH12" s="30">
        <f t="shared" si="210"/>
        <v>0.77861456783848271</v>
      </c>
      <c r="FI12" s="28">
        <f t="shared" si="211"/>
        <v>1.2405439412785269E-2</v>
      </c>
      <c r="FJ12" s="29">
        <f t="shared" si="212"/>
        <v>90109.847965473047</v>
      </c>
      <c r="FK12" s="73">
        <f t="shared" si="213"/>
        <v>0</v>
      </c>
      <c r="FL12" s="69" t="s">
        <v>8</v>
      </c>
      <c r="FM12" s="25" t="s">
        <v>8</v>
      </c>
      <c r="FN12" s="30">
        <f t="shared" si="214"/>
        <v>0.77861456783848271</v>
      </c>
      <c r="FO12" s="28">
        <f t="shared" si="215"/>
        <v>1.2405439412785269E-2</v>
      </c>
      <c r="FP12" s="29">
        <f t="shared" si="216"/>
        <v>90109.847965473047</v>
      </c>
      <c r="FQ12" s="73">
        <f t="shared" si="217"/>
        <v>0</v>
      </c>
      <c r="FR12" s="69" t="s">
        <v>8</v>
      </c>
      <c r="FS12" s="25" t="s">
        <v>8</v>
      </c>
      <c r="FT12" s="30">
        <f t="shared" si="218"/>
        <v>0.77861456783848271</v>
      </c>
      <c r="FU12" s="28">
        <f t="shared" si="219"/>
        <v>1.2405439412785269E-2</v>
      </c>
      <c r="FV12" s="29">
        <f t="shared" si="220"/>
        <v>90109.847965473047</v>
      </c>
      <c r="FW12" s="73">
        <f t="shared" si="221"/>
        <v>0</v>
      </c>
      <c r="FX12" s="69" t="s">
        <v>8</v>
      </c>
      <c r="FY12" s="25" t="s">
        <v>8</v>
      </c>
      <c r="FZ12" s="30">
        <f t="shared" si="222"/>
        <v>0.77861456783848271</v>
      </c>
      <c r="GA12" s="28">
        <f t="shared" si="223"/>
        <v>1.2405439412785269E-2</v>
      </c>
      <c r="GB12" s="29">
        <f t="shared" si="224"/>
        <v>90109.847965473047</v>
      </c>
      <c r="GC12" s="73">
        <f t="shared" si="225"/>
        <v>0</v>
      </c>
      <c r="GD12" s="69" t="s">
        <v>8</v>
      </c>
      <c r="GE12" s="25" t="s">
        <v>8</v>
      </c>
      <c r="GF12" s="30">
        <f t="shared" si="226"/>
        <v>0.77861456783848271</v>
      </c>
      <c r="GG12" s="28">
        <f t="shared" si="227"/>
        <v>1.2405439412785269E-2</v>
      </c>
      <c r="GH12" s="29">
        <f t="shared" si="228"/>
        <v>90109.847965473047</v>
      </c>
      <c r="GI12" s="113">
        <f t="shared" si="229"/>
        <v>0</v>
      </c>
      <c r="GJ12" s="69" t="s">
        <v>8</v>
      </c>
      <c r="GK12" s="25" t="s">
        <v>8</v>
      </c>
      <c r="GL12" s="30">
        <f t="shared" si="230"/>
        <v>0.77861456783848271</v>
      </c>
      <c r="GM12" s="28">
        <f t="shared" si="231"/>
        <v>1.2405439412785269E-2</v>
      </c>
      <c r="GN12" s="29">
        <f t="shared" si="232"/>
        <v>90109.847965473047</v>
      </c>
      <c r="GO12" s="113">
        <f t="shared" si="233"/>
        <v>0</v>
      </c>
      <c r="GP12" s="215">
        <f t="shared" si="234"/>
        <v>1662209.8567625517</v>
      </c>
      <c r="GQ12" s="238">
        <f t="shared" si="235"/>
        <v>1710730.8366621018</v>
      </c>
      <c r="GR12" s="196">
        <f t="shared" si="236"/>
        <v>0.77861456783848282</v>
      </c>
      <c r="GS12" s="242">
        <v>1710730.84</v>
      </c>
    </row>
    <row r="13" spans="1:201" s="20" customFormat="1" ht="15.75" customHeight="1" x14ac:dyDescent="0.25">
      <c r="A13" s="159" t="s">
        <v>176</v>
      </c>
      <c r="B13" s="130" t="s">
        <v>8</v>
      </c>
      <c r="C13" s="130" t="s">
        <v>8</v>
      </c>
      <c r="D13" s="130" t="s">
        <v>8</v>
      </c>
      <c r="E13" s="130" t="s">
        <v>8</v>
      </c>
      <c r="F13" s="130" t="s">
        <v>8</v>
      </c>
      <c r="G13" s="95">
        <f>'Исходные данные'!C15</f>
        <v>656</v>
      </c>
      <c r="H13" s="26">
        <f>'Исходные данные'!D15</f>
        <v>1382868</v>
      </c>
      <c r="I13" s="27">
        <f>'Расчет КРП'!G11</f>
        <v>3.7877302207186476</v>
      </c>
      <c r="J13" s="102" t="s">
        <v>8</v>
      </c>
      <c r="K13" s="106">
        <f t="shared" si="109"/>
        <v>0.33220613604505694</v>
      </c>
      <c r="L13" s="70">
        <f t="shared" si="237"/>
        <v>73004.043151616614</v>
      </c>
      <c r="M13" s="66">
        <f t="shared" si="110"/>
        <v>0.34974388447156268</v>
      </c>
      <c r="N13" s="25" t="s">
        <v>8</v>
      </c>
      <c r="O13" s="28">
        <f t="shared" si="111"/>
        <v>-7.5136666449462763E-2</v>
      </c>
      <c r="P13" s="29">
        <f t="shared" si="112"/>
        <v>0</v>
      </c>
      <c r="Q13" s="73">
        <f t="shared" si="113"/>
        <v>0</v>
      </c>
      <c r="R13" s="135" t="s">
        <v>8</v>
      </c>
      <c r="S13" s="25" t="s">
        <v>8</v>
      </c>
      <c r="T13" s="30">
        <f t="shared" si="114"/>
        <v>0.34974388447156268</v>
      </c>
      <c r="U13" s="28">
        <f t="shared" si="115"/>
        <v>6.8785700553386508E-4</v>
      </c>
      <c r="V13" s="46">
        <f t="shared" si="116"/>
        <v>3494.7932314932414</v>
      </c>
      <c r="W13" s="73">
        <f t="shared" si="117"/>
        <v>3494.7932314932414</v>
      </c>
      <c r="X13" s="69" t="s">
        <v>8</v>
      </c>
      <c r="Y13" s="25" t="s">
        <v>8</v>
      </c>
      <c r="Z13" s="30">
        <f t="shared" si="118"/>
        <v>0.35058343803394953</v>
      </c>
      <c r="AA13" s="28">
        <f t="shared" si="119"/>
        <v>6.4283426320008108E-2</v>
      </c>
      <c r="AB13" s="46">
        <f t="shared" si="120"/>
        <v>361424.85766152461</v>
      </c>
      <c r="AC13" s="73">
        <f t="shared" si="121"/>
        <v>361424.85766152461</v>
      </c>
      <c r="AD13" s="69" t="s">
        <v>8</v>
      </c>
      <c r="AE13" s="25" t="s">
        <v>8</v>
      </c>
      <c r="AF13" s="30">
        <f t="shared" si="122"/>
        <v>0.43740846792427152</v>
      </c>
      <c r="AG13" s="28">
        <f t="shared" si="123"/>
        <v>3.425814005532446E-2</v>
      </c>
      <c r="AH13" s="46">
        <f t="shared" si="124"/>
        <v>209167.10052618</v>
      </c>
      <c r="AI13" s="73">
        <f t="shared" si="125"/>
        <v>209167.10052618</v>
      </c>
      <c r="AJ13" s="69" t="s">
        <v>8</v>
      </c>
      <c r="AK13" s="25" t="s">
        <v>8</v>
      </c>
      <c r="AL13" s="30">
        <f t="shared" si="126"/>
        <v>0.48765664363847577</v>
      </c>
      <c r="AM13" s="28">
        <f t="shared" si="127"/>
        <v>3.6166383534180946E-2</v>
      </c>
      <c r="AN13" s="46">
        <f t="shared" si="128"/>
        <v>236906.27630001472</v>
      </c>
      <c r="AO13" s="73">
        <f t="shared" si="129"/>
        <v>236906.27630001472</v>
      </c>
      <c r="AP13" s="69" t="s">
        <v>8</v>
      </c>
      <c r="AQ13" s="25" t="s">
        <v>8</v>
      </c>
      <c r="AR13" s="30">
        <f t="shared" si="130"/>
        <v>0.54456859666251756</v>
      </c>
      <c r="AS13" s="28">
        <f t="shared" si="131"/>
        <v>2.6091470765518987E-2</v>
      </c>
      <c r="AT13" s="46">
        <f t="shared" si="132"/>
        <v>181326.13256590924</v>
      </c>
      <c r="AU13" s="73">
        <f t="shared" si="133"/>
        <v>181326.13256590924</v>
      </c>
      <c r="AV13" s="69" t="s">
        <v>8</v>
      </c>
      <c r="AW13" s="25" t="s">
        <v>8</v>
      </c>
      <c r="AX13" s="30">
        <f t="shared" si="134"/>
        <v>0.58812854154786764</v>
      </c>
      <c r="AY13" s="28">
        <f t="shared" si="135"/>
        <v>2.3534444014018829E-2</v>
      </c>
      <c r="AZ13" s="46">
        <f t="shared" si="136"/>
        <v>171783.6124731116</v>
      </c>
      <c r="BA13" s="73">
        <f t="shared" si="137"/>
        <v>171783.6124731116</v>
      </c>
      <c r="BB13" s="69" t="s">
        <v>8</v>
      </c>
      <c r="BC13" s="25" t="s">
        <v>8</v>
      </c>
      <c r="BD13" s="30">
        <f t="shared" si="138"/>
        <v>0.62939608851225892</v>
      </c>
      <c r="BE13" s="28">
        <f t="shared" si="139"/>
        <v>2.0097302305360443E-2</v>
      </c>
      <c r="BF13" s="46">
        <f t="shared" si="140"/>
        <v>157543.83043934696</v>
      </c>
      <c r="BG13" s="73">
        <f t="shared" si="141"/>
        <v>157543.83043934696</v>
      </c>
      <c r="BH13" s="69" t="s">
        <v>8</v>
      </c>
      <c r="BI13" s="25" t="s">
        <v>8</v>
      </c>
      <c r="BJ13" s="30">
        <f t="shared" si="142"/>
        <v>0.66724281514704475</v>
      </c>
      <c r="BK13" s="28">
        <f t="shared" si="143"/>
        <v>1.8920858908520244E-2</v>
      </c>
      <c r="BL13" s="46">
        <f t="shared" si="144"/>
        <v>156820.5484736659</v>
      </c>
      <c r="BM13" s="73">
        <f t="shared" si="145"/>
        <v>156820.5484736659</v>
      </c>
      <c r="BN13" s="69" t="s">
        <v>8</v>
      </c>
      <c r="BO13" s="25" t="s">
        <v>8</v>
      </c>
      <c r="BP13" s="30">
        <f t="shared" si="146"/>
        <v>0.70491578788262266</v>
      </c>
      <c r="BQ13" s="28">
        <f t="shared" si="147"/>
        <v>1.5963092425534731E-2</v>
      </c>
      <c r="BR13" s="46">
        <f t="shared" si="148"/>
        <v>140105.63580151039</v>
      </c>
      <c r="BS13" s="113">
        <f t="shared" si="149"/>
        <v>140105.63580151039</v>
      </c>
      <c r="BT13" s="69" t="s">
        <v>8</v>
      </c>
      <c r="BU13" s="25" t="s">
        <v>8</v>
      </c>
      <c r="BV13" s="30">
        <f t="shared" si="150"/>
        <v>0.73857334009133369</v>
      </c>
      <c r="BW13" s="28">
        <f t="shared" si="151"/>
        <v>1.5000867830978537E-2</v>
      </c>
      <c r="BX13" s="46">
        <f t="shared" si="152"/>
        <v>137623.3748472915</v>
      </c>
      <c r="BY13" s="113">
        <f t="shared" si="153"/>
        <v>137623.3748472915</v>
      </c>
      <c r="BZ13" s="69" t="s">
        <v>8</v>
      </c>
      <c r="CA13" s="25" t="s">
        <v>8</v>
      </c>
      <c r="CB13" s="30">
        <f t="shared" si="154"/>
        <v>0.77163457918826794</v>
      </c>
      <c r="CC13" s="28">
        <f t="shared" si="155"/>
        <v>1.2112483188308376E-2</v>
      </c>
      <c r="CD13" s="46">
        <f t="shared" si="156"/>
        <v>116400.43270644001</v>
      </c>
      <c r="CE13" s="113">
        <f t="shared" si="157"/>
        <v>30522.988261983239</v>
      </c>
      <c r="CF13" s="69" t="s">
        <v>8</v>
      </c>
      <c r="CG13" s="25" t="s">
        <v>8</v>
      </c>
      <c r="CH13" s="30">
        <f t="shared" si="158"/>
        <v>0.77896711128175922</v>
      </c>
      <c r="CI13" s="28">
        <f t="shared" si="159"/>
        <v>1.2052895969508759E-2</v>
      </c>
      <c r="CJ13" s="46">
        <f t="shared" si="160"/>
        <v>116829.5992411901</v>
      </c>
      <c r="CK13" s="113">
        <f t="shared" si="161"/>
        <v>0</v>
      </c>
      <c r="CL13" s="69" t="s">
        <v>8</v>
      </c>
      <c r="CM13" s="25" t="s">
        <v>8</v>
      </c>
      <c r="CN13" s="30">
        <f t="shared" si="162"/>
        <v>0.77896711128175922</v>
      </c>
      <c r="CO13" s="28">
        <f t="shared" si="163"/>
        <v>1.2052895969508759E-2</v>
      </c>
      <c r="CP13" s="46">
        <f t="shared" si="164"/>
        <v>116829.5992411901</v>
      </c>
      <c r="CQ13" s="113">
        <f t="shared" si="165"/>
        <v>0</v>
      </c>
      <c r="CR13" s="69" t="s">
        <v>8</v>
      </c>
      <c r="CS13" s="25" t="s">
        <v>8</v>
      </c>
      <c r="CT13" s="30">
        <f t="shared" si="166"/>
        <v>0.77896711128175922</v>
      </c>
      <c r="CU13" s="28">
        <f t="shared" si="167"/>
        <v>1.2052895969508759E-2</v>
      </c>
      <c r="CV13" s="46">
        <f t="shared" si="168"/>
        <v>116829.5992411901</v>
      </c>
      <c r="CW13" s="113">
        <f t="shared" si="169"/>
        <v>0</v>
      </c>
      <c r="CX13" s="69" t="s">
        <v>8</v>
      </c>
      <c r="CY13" s="25" t="s">
        <v>8</v>
      </c>
      <c r="CZ13" s="30">
        <f t="shared" si="170"/>
        <v>0.77896711128175922</v>
      </c>
      <c r="DA13" s="28">
        <f t="shared" si="171"/>
        <v>1.2052895969508759E-2</v>
      </c>
      <c r="DB13" s="46">
        <f t="shared" si="172"/>
        <v>116829.5992411901</v>
      </c>
      <c r="DC13" s="113">
        <f t="shared" si="173"/>
        <v>0</v>
      </c>
      <c r="DD13" s="69" t="s">
        <v>8</v>
      </c>
      <c r="DE13" s="25" t="s">
        <v>8</v>
      </c>
      <c r="DF13" s="30">
        <f t="shared" si="174"/>
        <v>0.77896711128175922</v>
      </c>
      <c r="DG13" s="28">
        <f t="shared" si="175"/>
        <v>1.2052895969508759E-2</v>
      </c>
      <c r="DH13" s="46">
        <f t="shared" si="176"/>
        <v>116829.5992411901</v>
      </c>
      <c r="DI13" s="113">
        <f t="shared" si="177"/>
        <v>0</v>
      </c>
      <c r="DJ13" s="69" t="s">
        <v>8</v>
      </c>
      <c r="DK13" s="25" t="s">
        <v>8</v>
      </c>
      <c r="DL13" s="30">
        <f t="shared" si="178"/>
        <v>0.77896711128175922</v>
      </c>
      <c r="DM13" s="28">
        <f t="shared" si="179"/>
        <v>1.2052895969508759E-2</v>
      </c>
      <c r="DN13" s="46">
        <f t="shared" si="180"/>
        <v>116829.5992411901</v>
      </c>
      <c r="DO13" s="113">
        <f t="shared" si="181"/>
        <v>0</v>
      </c>
      <c r="DP13" s="69" t="s">
        <v>8</v>
      </c>
      <c r="DQ13" s="25" t="s">
        <v>8</v>
      </c>
      <c r="DR13" s="30">
        <f t="shared" si="182"/>
        <v>0.77896711128175922</v>
      </c>
      <c r="DS13" s="28">
        <f t="shared" si="183"/>
        <v>1.2052895969508759E-2</v>
      </c>
      <c r="DT13" s="46">
        <f t="shared" si="184"/>
        <v>116829.5992411901</v>
      </c>
      <c r="DU13" s="113">
        <f t="shared" si="185"/>
        <v>0</v>
      </c>
      <c r="DV13" s="69" t="s">
        <v>8</v>
      </c>
      <c r="DW13" s="25" t="s">
        <v>8</v>
      </c>
      <c r="DX13" s="30">
        <f t="shared" si="186"/>
        <v>0.77896711128175922</v>
      </c>
      <c r="DY13" s="28">
        <f t="shared" si="187"/>
        <v>1.2052895969508759E-2</v>
      </c>
      <c r="DZ13" s="29">
        <f t="shared" si="188"/>
        <v>116829.5992411901</v>
      </c>
      <c r="EA13" s="73">
        <f t="shared" si="189"/>
        <v>0</v>
      </c>
      <c r="EB13" s="69" t="s">
        <v>8</v>
      </c>
      <c r="EC13" s="25" t="s">
        <v>8</v>
      </c>
      <c r="ED13" s="30">
        <f t="shared" si="190"/>
        <v>0.77896711128175922</v>
      </c>
      <c r="EE13" s="28">
        <f t="shared" si="191"/>
        <v>1.2052895969508759E-2</v>
      </c>
      <c r="EF13" s="29">
        <f t="shared" si="192"/>
        <v>116829.5992411901</v>
      </c>
      <c r="EG13" s="73">
        <f t="shared" si="193"/>
        <v>0</v>
      </c>
      <c r="EH13" s="69" t="s">
        <v>8</v>
      </c>
      <c r="EI13" s="25" t="s">
        <v>8</v>
      </c>
      <c r="EJ13" s="30">
        <f t="shared" si="194"/>
        <v>0.77896711128175922</v>
      </c>
      <c r="EK13" s="28">
        <f t="shared" si="195"/>
        <v>1.2052895969508759E-2</v>
      </c>
      <c r="EL13" s="29">
        <f t="shared" si="196"/>
        <v>116829.5992411901</v>
      </c>
      <c r="EM13" s="73">
        <f t="shared" si="197"/>
        <v>0</v>
      </c>
      <c r="EN13" s="69" t="s">
        <v>8</v>
      </c>
      <c r="EO13" s="25" t="s">
        <v>8</v>
      </c>
      <c r="EP13" s="30">
        <f t="shared" si="198"/>
        <v>0.77896711128175922</v>
      </c>
      <c r="EQ13" s="28">
        <f t="shared" si="199"/>
        <v>1.2052895969508759E-2</v>
      </c>
      <c r="ER13" s="29">
        <f t="shared" si="200"/>
        <v>116829.5992411901</v>
      </c>
      <c r="ES13" s="73">
        <f t="shared" si="201"/>
        <v>0</v>
      </c>
      <c r="ET13" s="69" t="s">
        <v>8</v>
      </c>
      <c r="EU13" s="25" t="s">
        <v>8</v>
      </c>
      <c r="EV13" s="30">
        <f t="shared" si="202"/>
        <v>0.77896711128175922</v>
      </c>
      <c r="EW13" s="28">
        <f t="shared" si="203"/>
        <v>1.2052895969508759E-2</v>
      </c>
      <c r="EX13" s="29">
        <f t="shared" si="204"/>
        <v>116829.5992411901</v>
      </c>
      <c r="EY13" s="73">
        <f t="shared" si="205"/>
        <v>0</v>
      </c>
      <c r="EZ13" s="69" t="s">
        <v>8</v>
      </c>
      <c r="FA13" s="25" t="s">
        <v>8</v>
      </c>
      <c r="FB13" s="30">
        <f t="shared" si="206"/>
        <v>0.77896711128175922</v>
      </c>
      <c r="FC13" s="28">
        <f t="shared" si="207"/>
        <v>1.2052895969508759E-2</v>
      </c>
      <c r="FD13" s="29">
        <f t="shared" si="208"/>
        <v>116829.5992411901</v>
      </c>
      <c r="FE13" s="73">
        <f t="shared" si="209"/>
        <v>0</v>
      </c>
      <c r="FF13" s="69" t="s">
        <v>8</v>
      </c>
      <c r="FG13" s="25" t="s">
        <v>8</v>
      </c>
      <c r="FH13" s="30">
        <f t="shared" si="210"/>
        <v>0.77896711128175922</v>
      </c>
      <c r="FI13" s="28">
        <f t="shared" si="211"/>
        <v>1.2052895969508759E-2</v>
      </c>
      <c r="FJ13" s="29">
        <f t="shared" si="212"/>
        <v>116829.5992411901</v>
      </c>
      <c r="FK13" s="73">
        <f t="shared" si="213"/>
        <v>0</v>
      </c>
      <c r="FL13" s="69" t="s">
        <v>8</v>
      </c>
      <c r="FM13" s="25" t="s">
        <v>8</v>
      </c>
      <c r="FN13" s="30">
        <f t="shared" si="214"/>
        <v>0.77896711128175922</v>
      </c>
      <c r="FO13" s="28">
        <f t="shared" si="215"/>
        <v>1.2052895969508759E-2</v>
      </c>
      <c r="FP13" s="29">
        <f t="shared" si="216"/>
        <v>116829.5992411901</v>
      </c>
      <c r="FQ13" s="73">
        <f t="shared" si="217"/>
        <v>0</v>
      </c>
      <c r="FR13" s="69" t="s">
        <v>8</v>
      </c>
      <c r="FS13" s="25" t="s">
        <v>8</v>
      </c>
      <c r="FT13" s="30">
        <f t="shared" si="218"/>
        <v>0.77896711128175922</v>
      </c>
      <c r="FU13" s="28">
        <f t="shared" si="219"/>
        <v>1.2052895969508759E-2</v>
      </c>
      <c r="FV13" s="29">
        <f t="shared" si="220"/>
        <v>116829.5992411901</v>
      </c>
      <c r="FW13" s="73">
        <f t="shared" si="221"/>
        <v>0</v>
      </c>
      <c r="FX13" s="69" t="s">
        <v>8</v>
      </c>
      <c r="FY13" s="25" t="s">
        <v>8</v>
      </c>
      <c r="FZ13" s="30">
        <f t="shared" si="222"/>
        <v>0.77896711128175922</v>
      </c>
      <c r="GA13" s="28">
        <f t="shared" si="223"/>
        <v>1.2052895969508759E-2</v>
      </c>
      <c r="GB13" s="29">
        <f t="shared" si="224"/>
        <v>116829.5992411901</v>
      </c>
      <c r="GC13" s="73">
        <f t="shared" si="225"/>
        <v>0</v>
      </c>
      <c r="GD13" s="69" t="s">
        <v>8</v>
      </c>
      <c r="GE13" s="25" t="s">
        <v>8</v>
      </c>
      <c r="GF13" s="30">
        <f t="shared" si="226"/>
        <v>0.77896711128175922</v>
      </c>
      <c r="GG13" s="28">
        <f t="shared" si="227"/>
        <v>1.2052895969508759E-2</v>
      </c>
      <c r="GH13" s="29">
        <f t="shared" si="228"/>
        <v>116829.5992411901</v>
      </c>
      <c r="GI13" s="113">
        <f t="shared" si="229"/>
        <v>0</v>
      </c>
      <c r="GJ13" s="69" t="s">
        <v>8</v>
      </c>
      <c r="GK13" s="25" t="s">
        <v>8</v>
      </c>
      <c r="GL13" s="30">
        <f t="shared" si="230"/>
        <v>0.77896711128175922</v>
      </c>
      <c r="GM13" s="28">
        <f t="shared" si="231"/>
        <v>1.2052895969508759E-2</v>
      </c>
      <c r="GN13" s="29">
        <f t="shared" si="232"/>
        <v>116829.5992411901</v>
      </c>
      <c r="GO13" s="113">
        <f t="shared" si="233"/>
        <v>0</v>
      </c>
      <c r="GP13" s="215">
        <f t="shared" si="234"/>
        <v>1786719.1505820313</v>
      </c>
      <c r="GQ13" s="238">
        <f t="shared" si="235"/>
        <v>1859723.1937336479</v>
      </c>
      <c r="GR13" s="196">
        <f t="shared" si="236"/>
        <v>0.77896711128175933</v>
      </c>
      <c r="GS13" s="242">
        <v>1859723.19</v>
      </c>
    </row>
    <row r="14" spans="1:201" s="20" customFormat="1" ht="31.5" x14ac:dyDescent="0.25">
      <c r="A14" s="160" t="s">
        <v>177</v>
      </c>
      <c r="B14" s="130" t="s">
        <v>8</v>
      </c>
      <c r="C14" s="130" t="s">
        <v>8</v>
      </c>
      <c r="D14" s="130" t="s">
        <v>8</v>
      </c>
      <c r="E14" s="130" t="s">
        <v>8</v>
      </c>
      <c r="F14" s="130" t="s">
        <v>8</v>
      </c>
      <c r="G14" s="95">
        <f>'Исходные данные'!C16</f>
        <v>449</v>
      </c>
      <c r="H14" s="26">
        <f>'Исходные данные'!D16</f>
        <v>288926</v>
      </c>
      <c r="I14" s="27">
        <f>'Расчет КРП'!G12</f>
        <v>4.413597068878552</v>
      </c>
      <c r="J14" s="102" t="s">
        <v>8</v>
      </c>
      <c r="K14" s="106">
        <f t="shared" si="109"/>
        <v>8.7027679319796311E-2</v>
      </c>
      <c r="L14" s="70">
        <f t="shared" si="237"/>
        <v>49967.706364444908</v>
      </c>
      <c r="M14" s="66">
        <f t="shared" si="110"/>
        <v>0.10207850038065845</v>
      </c>
      <c r="N14" s="25" t="s">
        <v>8</v>
      </c>
      <c r="O14" s="28">
        <f t="shared" si="111"/>
        <v>0.17252871764144145</v>
      </c>
      <c r="P14" s="29">
        <f t="shared" si="112"/>
        <v>610832.67671921884</v>
      </c>
      <c r="Q14" s="73">
        <f t="shared" si="113"/>
        <v>610832.67671921884</v>
      </c>
      <c r="R14" s="135" t="s">
        <v>8</v>
      </c>
      <c r="S14" s="25" t="s">
        <v>8</v>
      </c>
      <c r="T14" s="30">
        <f t="shared" si="114"/>
        <v>0.28606800048647446</v>
      </c>
      <c r="U14" s="28">
        <f t="shared" si="115"/>
        <v>6.4363740990622087E-2</v>
      </c>
      <c r="V14" s="46">
        <f t="shared" si="116"/>
        <v>260807.90154505093</v>
      </c>
      <c r="W14" s="73">
        <f t="shared" si="117"/>
        <v>260807.90154505093</v>
      </c>
      <c r="X14" s="69" t="s">
        <v>8</v>
      </c>
      <c r="Y14" s="25" t="s">
        <v>8</v>
      </c>
      <c r="Z14" s="30">
        <f t="shared" si="118"/>
        <v>0.36462620023219372</v>
      </c>
      <c r="AA14" s="28">
        <f t="shared" si="119"/>
        <v>5.0240664121763923E-2</v>
      </c>
      <c r="AB14" s="46">
        <f t="shared" si="120"/>
        <v>225284.0882572566</v>
      </c>
      <c r="AC14" s="73">
        <f t="shared" si="121"/>
        <v>225284.0882572566</v>
      </c>
      <c r="AD14" s="69" t="s">
        <v>8</v>
      </c>
      <c r="AE14" s="25" t="s">
        <v>8</v>
      </c>
      <c r="AF14" s="30">
        <f t="shared" si="122"/>
        <v>0.43248423789133555</v>
      </c>
      <c r="AG14" s="28">
        <f t="shared" si="123"/>
        <v>3.9182370088260421E-2</v>
      </c>
      <c r="AH14" s="46">
        <f t="shared" si="124"/>
        <v>190799.15333508901</v>
      </c>
      <c r="AI14" s="73">
        <f t="shared" si="125"/>
        <v>190799.15333508901</v>
      </c>
      <c r="AJ14" s="69" t="s">
        <v>8</v>
      </c>
      <c r="AK14" s="25" t="s">
        <v>8</v>
      </c>
      <c r="AL14" s="30">
        <f t="shared" si="126"/>
        <v>0.48995503501909415</v>
      </c>
      <c r="AM14" s="28">
        <f t="shared" si="127"/>
        <v>3.3867992153562565E-2</v>
      </c>
      <c r="AN14" s="46">
        <f t="shared" si="128"/>
        <v>176936.35594254843</v>
      </c>
      <c r="AO14" s="73">
        <f t="shared" si="129"/>
        <v>176936.35594254843</v>
      </c>
      <c r="AP14" s="69" t="s">
        <v>8</v>
      </c>
      <c r="AQ14" s="25" t="s">
        <v>8</v>
      </c>
      <c r="AR14" s="30">
        <f t="shared" si="130"/>
        <v>0.54325020556442916</v>
      </c>
      <c r="AS14" s="28">
        <f t="shared" si="131"/>
        <v>2.7409861863607388E-2</v>
      </c>
      <c r="AT14" s="46">
        <f t="shared" si="132"/>
        <v>151923.45552753913</v>
      </c>
      <c r="AU14" s="73">
        <f t="shared" si="133"/>
        <v>151923.45552753913</v>
      </c>
      <c r="AV14" s="69" t="s">
        <v>8</v>
      </c>
      <c r="AW14" s="25" t="s">
        <v>8</v>
      </c>
      <c r="AX14" s="30">
        <f t="shared" si="134"/>
        <v>0.58901121623430996</v>
      </c>
      <c r="AY14" s="28">
        <f t="shared" si="135"/>
        <v>2.265176932757651E-2</v>
      </c>
      <c r="AZ14" s="46">
        <f t="shared" si="136"/>
        <v>131866.98118452242</v>
      </c>
      <c r="BA14" s="73">
        <f t="shared" si="137"/>
        <v>131866.98118452242</v>
      </c>
      <c r="BB14" s="69" t="s">
        <v>8</v>
      </c>
      <c r="BC14" s="25" t="s">
        <v>8</v>
      </c>
      <c r="BD14" s="30">
        <f t="shared" si="138"/>
        <v>0.62873099690962553</v>
      </c>
      <c r="BE14" s="28">
        <f t="shared" si="139"/>
        <v>2.0762393907993837E-2</v>
      </c>
      <c r="BF14" s="46">
        <f t="shared" si="140"/>
        <v>129806.72911723181</v>
      </c>
      <c r="BG14" s="73">
        <f t="shared" si="141"/>
        <v>129806.72911723181</v>
      </c>
      <c r="BH14" s="69" t="s">
        <v>8</v>
      </c>
      <c r="BI14" s="25" t="s">
        <v>8</v>
      </c>
      <c r="BJ14" s="30">
        <f t="shared" si="142"/>
        <v>0.66783020707127982</v>
      </c>
      <c r="BK14" s="28">
        <f t="shared" si="143"/>
        <v>1.8333466984285174E-2</v>
      </c>
      <c r="BL14" s="46">
        <f t="shared" si="144"/>
        <v>121188.90659912101</v>
      </c>
      <c r="BM14" s="73">
        <f t="shared" si="145"/>
        <v>121188.90659912101</v>
      </c>
      <c r="BN14" s="69" t="s">
        <v>8</v>
      </c>
      <c r="BO14" s="25" t="s">
        <v>8</v>
      </c>
      <c r="BP14" s="30">
        <f t="shared" si="146"/>
        <v>0.70433363459467713</v>
      </c>
      <c r="BQ14" s="28">
        <f t="shared" si="147"/>
        <v>1.6545245713480261E-2</v>
      </c>
      <c r="BR14" s="46">
        <f t="shared" si="148"/>
        <v>115815.83522119615</v>
      </c>
      <c r="BS14" s="113">
        <f t="shared" si="149"/>
        <v>115815.83522119615</v>
      </c>
      <c r="BT14" s="69" t="s">
        <v>8</v>
      </c>
      <c r="BU14" s="25" t="s">
        <v>8</v>
      </c>
      <c r="BV14" s="30">
        <f t="shared" si="150"/>
        <v>0.73921863410245625</v>
      </c>
      <c r="BW14" s="28">
        <f t="shared" si="151"/>
        <v>1.4355573819855971E-2</v>
      </c>
      <c r="BX14" s="46">
        <f t="shared" si="152"/>
        <v>105039.46978177795</v>
      </c>
      <c r="BY14" s="113">
        <f t="shared" si="153"/>
        <v>105039.46978177795</v>
      </c>
      <c r="BZ14" s="69" t="s">
        <v>8</v>
      </c>
      <c r="CA14" s="25" t="s">
        <v>8</v>
      </c>
      <c r="CB14" s="30">
        <f t="shared" si="154"/>
        <v>0.77085767417531237</v>
      </c>
      <c r="CC14" s="28">
        <f t="shared" si="155"/>
        <v>1.2889388201263952E-2</v>
      </c>
      <c r="CD14" s="46">
        <f t="shared" si="156"/>
        <v>98789.28826892178</v>
      </c>
      <c r="CE14" s="113">
        <f t="shared" si="157"/>
        <v>25904.923342051719</v>
      </c>
      <c r="CF14" s="69" t="s">
        <v>8</v>
      </c>
      <c r="CG14" s="25" t="s">
        <v>8</v>
      </c>
      <c r="CH14" s="30">
        <f t="shared" si="158"/>
        <v>0.77866052113756568</v>
      </c>
      <c r="CI14" s="28">
        <f t="shared" si="159"/>
        <v>1.23594861137023E-2</v>
      </c>
      <c r="CJ14" s="46">
        <f t="shared" si="160"/>
        <v>95547.216116021998</v>
      </c>
      <c r="CK14" s="113">
        <f t="shared" si="161"/>
        <v>0</v>
      </c>
      <c r="CL14" s="69" t="s">
        <v>8</v>
      </c>
      <c r="CM14" s="25" t="s">
        <v>8</v>
      </c>
      <c r="CN14" s="30">
        <f t="shared" si="162"/>
        <v>0.77866052113756568</v>
      </c>
      <c r="CO14" s="28">
        <f t="shared" si="163"/>
        <v>1.23594861137023E-2</v>
      </c>
      <c r="CP14" s="46">
        <f t="shared" si="164"/>
        <v>95547.216116021998</v>
      </c>
      <c r="CQ14" s="113">
        <f t="shared" si="165"/>
        <v>0</v>
      </c>
      <c r="CR14" s="69" t="s">
        <v>8</v>
      </c>
      <c r="CS14" s="25" t="s">
        <v>8</v>
      </c>
      <c r="CT14" s="30">
        <f t="shared" si="166"/>
        <v>0.77866052113756568</v>
      </c>
      <c r="CU14" s="28">
        <f t="shared" si="167"/>
        <v>1.23594861137023E-2</v>
      </c>
      <c r="CV14" s="46">
        <f t="shared" si="168"/>
        <v>95547.216116021998</v>
      </c>
      <c r="CW14" s="113">
        <f t="shared" si="169"/>
        <v>0</v>
      </c>
      <c r="CX14" s="69" t="s">
        <v>8</v>
      </c>
      <c r="CY14" s="25" t="s">
        <v>8</v>
      </c>
      <c r="CZ14" s="30">
        <f t="shared" si="170"/>
        <v>0.77866052113756568</v>
      </c>
      <c r="DA14" s="28">
        <f t="shared" si="171"/>
        <v>1.23594861137023E-2</v>
      </c>
      <c r="DB14" s="46">
        <f t="shared" si="172"/>
        <v>95547.216116021998</v>
      </c>
      <c r="DC14" s="113">
        <f t="shared" si="173"/>
        <v>0</v>
      </c>
      <c r="DD14" s="69" t="s">
        <v>8</v>
      </c>
      <c r="DE14" s="25" t="s">
        <v>8</v>
      </c>
      <c r="DF14" s="30">
        <f t="shared" si="174"/>
        <v>0.77866052113756568</v>
      </c>
      <c r="DG14" s="28">
        <f t="shared" si="175"/>
        <v>1.23594861137023E-2</v>
      </c>
      <c r="DH14" s="46">
        <f t="shared" si="176"/>
        <v>95547.216116021998</v>
      </c>
      <c r="DI14" s="113">
        <f t="shared" si="177"/>
        <v>0</v>
      </c>
      <c r="DJ14" s="69" t="s">
        <v>8</v>
      </c>
      <c r="DK14" s="25" t="s">
        <v>8</v>
      </c>
      <c r="DL14" s="30">
        <f t="shared" si="178"/>
        <v>0.77866052113756568</v>
      </c>
      <c r="DM14" s="28">
        <f t="shared" si="179"/>
        <v>1.23594861137023E-2</v>
      </c>
      <c r="DN14" s="46">
        <f t="shared" si="180"/>
        <v>95547.216116021998</v>
      </c>
      <c r="DO14" s="113">
        <f t="shared" si="181"/>
        <v>0</v>
      </c>
      <c r="DP14" s="69" t="s">
        <v>8</v>
      </c>
      <c r="DQ14" s="25" t="s">
        <v>8</v>
      </c>
      <c r="DR14" s="30">
        <f t="shared" si="182"/>
        <v>0.77866052113756568</v>
      </c>
      <c r="DS14" s="28">
        <f t="shared" si="183"/>
        <v>1.23594861137023E-2</v>
      </c>
      <c r="DT14" s="46">
        <f t="shared" si="184"/>
        <v>95547.216116021998</v>
      </c>
      <c r="DU14" s="113">
        <f t="shared" si="185"/>
        <v>0</v>
      </c>
      <c r="DV14" s="69" t="s">
        <v>8</v>
      </c>
      <c r="DW14" s="25" t="s">
        <v>8</v>
      </c>
      <c r="DX14" s="30">
        <f t="shared" si="186"/>
        <v>0.77866052113756568</v>
      </c>
      <c r="DY14" s="28">
        <f t="shared" si="187"/>
        <v>1.23594861137023E-2</v>
      </c>
      <c r="DZ14" s="29">
        <f t="shared" si="188"/>
        <v>95547.216116021998</v>
      </c>
      <c r="EA14" s="73">
        <f t="shared" si="189"/>
        <v>0</v>
      </c>
      <c r="EB14" s="69" t="s">
        <v>8</v>
      </c>
      <c r="EC14" s="25" t="s">
        <v>8</v>
      </c>
      <c r="ED14" s="30">
        <f t="shared" si="190"/>
        <v>0.77866052113756568</v>
      </c>
      <c r="EE14" s="28">
        <f t="shared" si="191"/>
        <v>1.23594861137023E-2</v>
      </c>
      <c r="EF14" s="29">
        <f t="shared" si="192"/>
        <v>95547.216116021998</v>
      </c>
      <c r="EG14" s="73">
        <f t="shared" si="193"/>
        <v>0</v>
      </c>
      <c r="EH14" s="69" t="s">
        <v>8</v>
      </c>
      <c r="EI14" s="25" t="s">
        <v>8</v>
      </c>
      <c r="EJ14" s="30">
        <f t="shared" si="194"/>
        <v>0.77866052113756568</v>
      </c>
      <c r="EK14" s="28">
        <f t="shared" si="195"/>
        <v>1.23594861137023E-2</v>
      </c>
      <c r="EL14" s="29">
        <f t="shared" si="196"/>
        <v>95547.216116021998</v>
      </c>
      <c r="EM14" s="73">
        <f t="shared" si="197"/>
        <v>0</v>
      </c>
      <c r="EN14" s="69" t="s">
        <v>8</v>
      </c>
      <c r="EO14" s="25" t="s">
        <v>8</v>
      </c>
      <c r="EP14" s="30">
        <f t="shared" si="198"/>
        <v>0.77866052113756568</v>
      </c>
      <c r="EQ14" s="28">
        <f t="shared" si="199"/>
        <v>1.23594861137023E-2</v>
      </c>
      <c r="ER14" s="29">
        <f t="shared" si="200"/>
        <v>95547.216116021998</v>
      </c>
      <c r="ES14" s="73">
        <f t="shared" si="201"/>
        <v>0</v>
      </c>
      <c r="ET14" s="69" t="s">
        <v>8</v>
      </c>
      <c r="EU14" s="25" t="s">
        <v>8</v>
      </c>
      <c r="EV14" s="30">
        <f t="shared" si="202"/>
        <v>0.77866052113756568</v>
      </c>
      <c r="EW14" s="28">
        <f t="shared" si="203"/>
        <v>1.23594861137023E-2</v>
      </c>
      <c r="EX14" s="29">
        <f t="shared" si="204"/>
        <v>95547.216116021998</v>
      </c>
      <c r="EY14" s="73">
        <f t="shared" si="205"/>
        <v>0</v>
      </c>
      <c r="EZ14" s="69" t="s">
        <v>8</v>
      </c>
      <c r="FA14" s="25" t="s">
        <v>8</v>
      </c>
      <c r="FB14" s="30">
        <f t="shared" si="206"/>
        <v>0.77866052113756568</v>
      </c>
      <c r="FC14" s="28">
        <f t="shared" si="207"/>
        <v>1.23594861137023E-2</v>
      </c>
      <c r="FD14" s="29">
        <f t="shared" si="208"/>
        <v>95547.216116021998</v>
      </c>
      <c r="FE14" s="73">
        <f t="shared" si="209"/>
        <v>0</v>
      </c>
      <c r="FF14" s="69" t="s">
        <v>8</v>
      </c>
      <c r="FG14" s="25" t="s">
        <v>8</v>
      </c>
      <c r="FH14" s="30">
        <f t="shared" si="210"/>
        <v>0.77866052113756568</v>
      </c>
      <c r="FI14" s="28">
        <f t="shared" si="211"/>
        <v>1.23594861137023E-2</v>
      </c>
      <c r="FJ14" s="29">
        <f t="shared" si="212"/>
        <v>95547.216116021998</v>
      </c>
      <c r="FK14" s="73">
        <f t="shared" si="213"/>
        <v>0</v>
      </c>
      <c r="FL14" s="69" t="s">
        <v>8</v>
      </c>
      <c r="FM14" s="25" t="s">
        <v>8</v>
      </c>
      <c r="FN14" s="30">
        <f t="shared" si="214"/>
        <v>0.77866052113756568</v>
      </c>
      <c r="FO14" s="28">
        <f t="shared" si="215"/>
        <v>1.23594861137023E-2</v>
      </c>
      <c r="FP14" s="29">
        <f t="shared" si="216"/>
        <v>95547.216116021998</v>
      </c>
      <c r="FQ14" s="73">
        <f t="shared" si="217"/>
        <v>0</v>
      </c>
      <c r="FR14" s="69" t="s">
        <v>8</v>
      </c>
      <c r="FS14" s="25" t="s">
        <v>8</v>
      </c>
      <c r="FT14" s="30">
        <f t="shared" si="218"/>
        <v>0.77866052113756568</v>
      </c>
      <c r="FU14" s="28">
        <f t="shared" si="219"/>
        <v>1.23594861137023E-2</v>
      </c>
      <c r="FV14" s="29">
        <f t="shared" si="220"/>
        <v>95547.216116021998</v>
      </c>
      <c r="FW14" s="73">
        <f t="shared" si="221"/>
        <v>0</v>
      </c>
      <c r="FX14" s="69" t="s">
        <v>8</v>
      </c>
      <c r="FY14" s="25" t="s">
        <v>8</v>
      </c>
      <c r="FZ14" s="30">
        <f t="shared" si="222"/>
        <v>0.77866052113756568</v>
      </c>
      <c r="GA14" s="28">
        <f t="shared" si="223"/>
        <v>1.23594861137023E-2</v>
      </c>
      <c r="GB14" s="29">
        <f t="shared" si="224"/>
        <v>95547.216116021998</v>
      </c>
      <c r="GC14" s="73">
        <f t="shared" si="225"/>
        <v>0</v>
      </c>
      <c r="GD14" s="69" t="s">
        <v>8</v>
      </c>
      <c r="GE14" s="25" t="s">
        <v>8</v>
      </c>
      <c r="GF14" s="30">
        <f t="shared" si="226"/>
        <v>0.77866052113756568</v>
      </c>
      <c r="GG14" s="28">
        <f t="shared" si="227"/>
        <v>1.23594861137023E-2</v>
      </c>
      <c r="GH14" s="29">
        <f t="shared" si="228"/>
        <v>95547.216116021998</v>
      </c>
      <c r="GI14" s="113">
        <f t="shared" si="229"/>
        <v>0</v>
      </c>
      <c r="GJ14" s="69" t="s">
        <v>8</v>
      </c>
      <c r="GK14" s="25" t="s">
        <v>8</v>
      </c>
      <c r="GL14" s="30">
        <f t="shared" si="230"/>
        <v>0.77866052113756568</v>
      </c>
      <c r="GM14" s="28">
        <f t="shared" si="231"/>
        <v>1.23594861137023E-2</v>
      </c>
      <c r="GN14" s="29">
        <f t="shared" si="232"/>
        <v>95547.216116021998</v>
      </c>
      <c r="GO14" s="113">
        <f t="shared" si="233"/>
        <v>0</v>
      </c>
      <c r="GP14" s="215">
        <f t="shared" si="234"/>
        <v>2246206.4765726044</v>
      </c>
      <c r="GQ14" s="238">
        <f t="shared" si="235"/>
        <v>2296174.1829370493</v>
      </c>
      <c r="GR14" s="196">
        <f t="shared" si="236"/>
        <v>0.77866052113756556</v>
      </c>
      <c r="GS14" s="242">
        <v>2296174.1800000002</v>
      </c>
    </row>
    <row r="15" spans="1:201" s="20" customFormat="1" ht="31.5" x14ac:dyDescent="0.25">
      <c r="A15" s="159" t="s">
        <v>178</v>
      </c>
      <c r="B15" s="130" t="s">
        <v>8</v>
      </c>
      <c r="C15" s="130" t="s">
        <v>8</v>
      </c>
      <c r="D15" s="130" t="s">
        <v>8</v>
      </c>
      <c r="E15" s="130" t="s">
        <v>8</v>
      </c>
      <c r="F15" s="130" t="s">
        <v>8</v>
      </c>
      <c r="G15" s="95">
        <f>'Исходные данные'!C17</f>
        <v>711</v>
      </c>
      <c r="H15" s="26">
        <f>'Исходные данные'!D17</f>
        <v>433318</v>
      </c>
      <c r="I15" s="27">
        <f>'Расчет КРП'!G13</f>
        <v>3.3549950196919598</v>
      </c>
      <c r="J15" s="102" t="s">
        <v>8</v>
      </c>
      <c r="K15" s="106">
        <f t="shared" si="109"/>
        <v>0.10843139637866181</v>
      </c>
      <c r="L15" s="70">
        <f t="shared" si="237"/>
        <v>79124.808964633252</v>
      </c>
      <c r="M15" s="66">
        <f t="shared" si="110"/>
        <v>0.12823120512011738</v>
      </c>
      <c r="N15" s="25" t="s">
        <v>8</v>
      </c>
      <c r="O15" s="28">
        <f t="shared" si="111"/>
        <v>0.14637601290198254</v>
      </c>
      <c r="P15" s="29">
        <f t="shared" si="112"/>
        <v>623811.3003981834</v>
      </c>
      <c r="Q15" s="73">
        <f t="shared" si="113"/>
        <v>623811.3003981834</v>
      </c>
      <c r="R15" s="135" t="s">
        <v>8</v>
      </c>
      <c r="S15" s="25" t="s">
        <v>8</v>
      </c>
      <c r="T15" s="30">
        <f t="shared" si="114"/>
        <v>0.28433072182370206</v>
      </c>
      <c r="U15" s="28">
        <f t="shared" si="115"/>
        <v>6.6101019653394488E-2</v>
      </c>
      <c r="V15" s="46">
        <f t="shared" si="116"/>
        <v>322411.17189427529</v>
      </c>
      <c r="W15" s="73">
        <f t="shared" si="117"/>
        <v>322411.17189427529</v>
      </c>
      <c r="X15" s="69" t="s">
        <v>8</v>
      </c>
      <c r="Y15" s="25" t="s">
        <v>8</v>
      </c>
      <c r="Z15" s="30">
        <f t="shared" si="118"/>
        <v>0.36500933101274341</v>
      </c>
      <c r="AA15" s="28">
        <f t="shared" si="119"/>
        <v>4.9857533341214233E-2</v>
      </c>
      <c r="AB15" s="46">
        <f t="shared" si="120"/>
        <v>269109.10537179577</v>
      </c>
      <c r="AC15" s="73">
        <f t="shared" si="121"/>
        <v>269109.10537179577</v>
      </c>
      <c r="AD15" s="69" t="s">
        <v>8</v>
      </c>
      <c r="AE15" s="25" t="s">
        <v>8</v>
      </c>
      <c r="AF15" s="30">
        <f t="shared" si="122"/>
        <v>0.43234988938713881</v>
      </c>
      <c r="AG15" s="28">
        <f t="shared" si="123"/>
        <v>3.9316718592457167E-2</v>
      </c>
      <c r="AH15" s="46">
        <f t="shared" si="124"/>
        <v>230454.64280128502</v>
      </c>
      <c r="AI15" s="73">
        <f t="shared" si="125"/>
        <v>230454.64280128502</v>
      </c>
      <c r="AJ15" s="69" t="s">
        <v>8</v>
      </c>
      <c r="AK15" s="25" t="s">
        <v>8</v>
      </c>
      <c r="AL15" s="30">
        <f t="shared" si="126"/>
        <v>0.49001774237475781</v>
      </c>
      <c r="AM15" s="28">
        <f t="shared" si="127"/>
        <v>3.3805284797898905E-2</v>
      </c>
      <c r="AN15" s="46">
        <f t="shared" si="128"/>
        <v>212586.01167050441</v>
      </c>
      <c r="AO15" s="73">
        <f t="shared" si="129"/>
        <v>212586.01167050441</v>
      </c>
      <c r="AP15" s="69" t="s">
        <v>8</v>
      </c>
      <c r="AQ15" s="25" t="s">
        <v>8</v>
      </c>
      <c r="AR15" s="30">
        <f t="shared" si="130"/>
        <v>0.54321423570299077</v>
      </c>
      <c r="AS15" s="28">
        <f t="shared" si="131"/>
        <v>2.7445831725045777E-2</v>
      </c>
      <c r="AT15" s="46">
        <f t="shared" si="132"/>
        <v>183112.012757163</v>
      </c>
      <c r="AU15" s="73">
        <f t="shared" si="133"/>
        <v>183112.012757163</v>
      </c>
      <c r="AV15" s="69" t="s">
        <v>8</v>
      </c>
      <c r="AW15" s="25" t="s">
        <v>8</v>
      </c>
      <c r="AX15" s="30">
        <f t="shared" si="134"/>
        <v>0.58903529837974677</v>
      </c>
      <c r="AY15" s="28">
        <f t="shared" si="135"/>
        <v>2.26276871821397E-2</v>
      </c>
      <c r="AZ15" s="46">
        <f t="shared" si="136"/>
        <v>158561.06598982113</v>
      </c>
      <c r="BA15" s="73">
        <f t="shared" si="137"/>
        <v>158561.06598982113</v>
      </c>
      <c r="BB15" s="69" t="s">
        <v>8</v>
      </c>
      <c r="BC15" s="25" t="s">
        <v>8</v>
      </c>
      <c r="BD15" s="30">
        <f t="shared" si="138"/>
        <v>0.62871285111599462</v>
      </c>
      <c r="BE15" s="28">
        <f t="shared" si="139"/>
        <v>2.0780539701624745E-2</v>
      </c>
      <c r="BF15" s="46">
        <f t="shared" si="140"/>
        <v>156386.42797038722</v>
      </c>
      <c r="BG15" s="73">
        <f t="shared" si="141"/>
        <v>156386.42797038722</v>
      </c>
      <c r="BH15" s="69" t="s">
        <v>8</v>
      </c>
      <c r="BI15" s="25" t="s">
        <v>8</v>
      </c>
      <c r="BJ15" s="30">
        <f t="shared" si="142"/>
        <v>0.66784623297296819</v>
      </c>
      <c r="BK15" s="28">
        <f t="shared" si="143"/>
        <v>1.8317441082596808E-2</v>
      </c>
      <c r="BL15" s="46">
        <f t="shared" si="144"/>
        <v>145748.98087341891</v>
      </c>
      <c r="BM15" s="73">
        <f t="shared" si="145"/>
        <v>145748.98087341891</v>
      </c>
      <c r="BN15" s="69" t="s">
        <v>8</v>
      </c>
      <c r="BO15" s="25" t="s">
        <v>8</v>
      </c>
      <c r="BP15" s="30">
        <f t="shared" si="146"/>
        <v>0.70431775161948562</v>
      </c>
      <c r="BQ15" s="28">
        <f t="shared" si="147"/>
        <v>1.6561128688671767E-2</v>
      </c>
      <c r="BR15" s="46">
        <f t="shared" si="148"/>
        <v>139542.69655677289</v>
      </c>
      <c r="BS15" s="113">
        <f t="shared" si="149"/>
        <v>139542.69655677289</v>
      </c>
      <c r="BT15" s="69" t="s">
        <v>8</v>
      </c>
      <c r="BU15" s="25" t="s">
        <v>8</v>
      </c>
      <c r="BV15" s="30">
        <f t="shared" si="150"/>
        <v>0.7392362397554384</v>
      </c>
      <c r="BW15" s="28">
        <f t="shared" si="151"/>
        <v>1.4337968166873827E-2</v>
      </c>
      <c r="BX15" s="46">
        <f t="shared" si="152"/>
        <v>126282.16908420292</v>
      </c>
      <c r="BY15" s="113">
        <f t="shared" si="153"/>
        <v>126282.16908420292</v>
      </c>
      <c r="BZ15" s="69" t="s">
        <v>8</v>
      </c>
      <c r="CA15" s="25" t="s">
        <v>8</v>
      </c>
      <c r="CB15" s="30">
        <f t="shared" si="154"/>
        <v>0.77083647775969033</v>
      </c>
      <c r="CC15" s="28">
        <f t="shared" si="155"/>
        <v>1.2910584616885989E-2</v>
      </c>
      <c r="CD15" s="46">
        <f t="shared" si="156"/>
        <v>119109.36739926899</v>
      </c>
      <c r="CE15" s="113">
        <f t="shared" si="157"/>
        <v>31233.335980708885</v>
      </c>
      <c r="CF15" s="69" t="s">
        <v>8</v>
      </c>
      <c r="CG15" s="25" t="s">
        <v>8</v>
      </c>
      <c r="CH15" s="30">
        <f t="shared" si="158"/>
        <v>0.7786521563928237</v>
      </c>
      <c r="CI15" s="28">
        <f t="shared" si="159"/>
        <v>1.2367850858444274E-2</v>
      </c>
      <c r="CJ15" s="46">
        <f t="shared" si="160"/>
        <v>115089.13355946129</v>
      </c>
      <c r="CK15" s="113">
        <f t="shared" si="161"/>
        <v>0</v>
      </c>
      <c r="CL15" s="69" t="s">
        <v>8</v>
      </c>
      <c r="CM15" s="25" t="s">
        <v>8</v>
      </c>
      <c r="CN15" s="30">
        <f t="shared" si="162"/>
        <v>0.7786521563928237</v>
      </c>
      <c r="CO15" s="28">
        <f t="shared" si="163"/>
        <v>1.2367850858444274E-2</v>
      </c>
      <c r="CP15" s="46">
        <f t="shared" si="164"/>
        <v>115089.13355946129</v>
      </c>
      <c r="CQ15" s="113">
        <f t="shared" si="165"/>
        <v>0</v>
      </c>
      <c r="CR15" s="69" t="s">
        <v>8</v>
      </c>
      <c r="CS15" s="25" t="s">
        <v>8</v>
      </c>
      <c r="CT15" s="30">
        <f t="shared" si="166"/>
        <v>0.7786521563928237</v>
      </c>
      <c r="CU15" s="28">
        <f t="shared" si="167"/>
        <v>1.2367850858444274E-2</v>
      </c>
      <c r="CV15" s="46">
        <f t="shared" si="168"/>
        <v>115089.13355946129</v>
      </c>
      <c r="CW15" s="113">
        <f t="shared" si="169"/>
        <v>0</v>
      </c>
      <c r="CX15" s="69" t="s">
        <v>8</v>
      </c>
      <c r="CY15" s="25" t="s">
        <v>8</v>
      </c>
      <c r="CZ15" s="30">
        <f t="shared" si="170"/>
        <v>0.7786521563928237</v>
      </c>
      <c r="DA15" s="28">
        <f t="shared" si="171"/>
        <v>1.2367850858444274E-2</v>
      </c>
      <c r="DB15" s="46">
        <f t="shared" si="172"/>
        <v>115089.13355946129</v>
      </c>
      <c r="DC15" s="113">
        <f t="shared" si="173"/>
        <v>0</v>
      </c>
      <c r="DD15" s="69" t="s">
        <v>8</v>
      </c>
      <c r="DE15" s="25" t="s">
        <v>8</v>
      </c>
      <c r="DF15" s="30">
        <f t="shared" si="174"/>
        <v>0.7786521563928237</v>
      </c>
      <c r="DG15" s="28">
        <f t="shared" si="175"/>
        <v>1.2367850858444274E-2</v>
      </c>
      <c r="DH15" s="46">
        <f t="shared" si="176"/>
        <v>115089.13355946129</v>
      </c>
      <c r="DI15" s="113">
        <f t="shared" si="177"/>
        <v>0</v>
      </c>
      <c r="DJ15" s="69" t="s">
        <v>8</v>
      </c>
      <c r="DK15" s="25" t="s">
        <v>8</v>
      </c>
      <c r="DL15" s="30">
        <f t="shared" si="178"/>
        <v>0.7786521563928237</v>
      </c>
      <c r="DM15" s="28">
        <f t="shared" si="179"/>
        <v>1.2367850858444274E-2</v>
      </c>
      <c r="DN15" s="46">
        <f t="shared" si="180"/>
        <v>115089.13355946129</v>
      </c>
      <c r="DO15" s="113">
        <f t="shared" si="181"/>
        <v>0</v>
      </c>
      <c r="DP15" s="69" t="s">
        <v>8</v>
      </c>
      <c r="DQ15" s="25" t="s">
        <v>8</v>
      </c>
      <c r="DR15" s="30">
        <f t="shared" si="182"/>
        <v>0.7786521563928237</v>
      </c>
      <c r="DS15" s="28">
        <f t="shared" si="183"/>
        <v>1.2367850858444274E-2</v>
      </c>
      <c r="DT15" s="46">
        <f t="shared" si="184"/>
        <v>115089.13355946129</v>
      </c>
      <c r="DU15" s="113">
        <f t="shared" si="185"/>
        <v>0</v>
      </c>
      <c r="DV15" s="69" t="s">
        <v>8</v>
      </c>
      <c r="DW15" s="25" t="s">
        <v>8</v>
      </c>
      <c r="DX15" s="30">
        <f t="shared" si="186"/>
        <v>0.7786521563928237</v>
      </c>
      <c r="DY15" s="28">
        <f t="shared" si="187"/>
        <v>1.2367850858444274E-2</v>
      </c>
      <c r="DZ15" s="29">
        <f t="shared" si="188"/>
        <v>115089.13355946129</v>
      </c>
      <c r="EA15" s="73">
        <f t="shared" si="189"/>
        <v>0</v>
      </c>
      <c r="EB15" s="69" t="s">
        <v>8</v>
      </c>
      <c r="EC15" s="25" t="s">
        <v>8</v>
      </c>
      <c r="ED15" s="30">
        <f t="shared" si="190"/>
        <v>0.7786521563928237</v>
      </c>
      <c r="EE15" s="28">
        <f t="shared" si="191"/>
        <v>1.2367850858444274E-2</v>
      </c>
      <c r="EF15" s="29">
        <f t="shared" si="192"/>
        <v>115089.13355946129</v>
      </c>
      <c r="EG15" s="73">
        <f t="shared" si="193"/>
        <v>0</v>
      </c>
      <c r="EH15" s="69" t="s">
        <v>8</v>
      </c>
      <c r="EI15" s="25" t="s">
        <v>8</v>
      </c>
      <c r="EJ15" s="30">
        <f t="shared" si="194"/>
        <v>0.7786521563928237</v>
      </c>
      <c r="EK15" s="28">
        <f t="shared" si="195"/>
        <v>1.2367850858444274E-2</v>
      </c>
      <c r="EL15" s="29">
        <f t="shared" si="196"/>
        <v>115089.13355946129</v>
      </c>
      <c r="EM15" s="73">
        <f t="shared" si="197"/>
        <v>0</v>
      </c>
      <c r="EN15" s="69" t="s">
        <v>8</v>
      </c>
      <c r="EO15" s="25" t="s">
        <v>8</v>
      </c>
      <c r="EP15" s="30">
        <f t="shared" si="198"/>
        <v>0.7786521563928237</v>
      </c>
      <c r="EQ15" s="28">
        <f t="shared" si="199"/>
        <v>1.2367850858444274E-2</v>
      </c>
      <c r="ER15" s="29">
        <f t="shared" si="200"/>
        <v>115089.13355946129</v>
      </c>
      <c r="ES15" s="73">
        <f t="shared" si="201"/>
        <v>0</v>
      </c>
      <c r="ET15" s="69" t="s">
        <v>8</v>
      </c>
      <c r="EU15" s="25" t="s">
        <v>8</v>
      </c>
      <c r="EV15" s="30">
        <f t="shared" si="202"/>
        <v>0.7786521563928237</v>
      </c>
      <c r="EW15" s="28">
        <f t="shared" si="203"/>
        <v>1.2367850858444274E-2</v>
      </c>
      <c r="EX15" s="29">
        <f t="shared" si="204"/>
        <v>115089.13355946129</v>
      </c>
      <c r="EY15" s="73">
        <f t="shared" si="205"/>
        <v>0</v>
      </c>
      <c r="EZ15" s="69" t="s">
        <v>8</v>
      </c>
      <c r="FA15" s="25" t="s">
        <v>8</v>
      </c>
      <c r="FB15" s="30">
        <f t="shared" si="206"/>
        <v>0.7786521563928237</v>
      </c>
      <c r="FC15" s="28">
        <f t="shared" si="207"/>
        <v>1.2367850858444274E-2</v>
      </c>
      <c r="FD15" s="29">
        <f t="shared" si="208"/>
        <v>115089.13355946129</v>
      </c>
      <c r="FE15" s="73">
        <f t="shared" si="209"/>
        <v>0</v>
      </c>
      <c r="FF15" s="69" t="s">
        <v>8</v>
      </c>
      <c r="FG15" s="25" t="s">
        <v>8</v>
      </c>
      <c r="FH15" s="30">
        <f t="shared" si="210"/>
        <v>0.7786521563928237</v>
      </c>
      <c r="FI15" s="28">
        <f t="shared" si="211"/>
        <v>1.2367850858444274E-2</v>
      </c>
      <c r="FJ15" s="29">
        <f t="shared" si="212"/>
        <v>115089.13355946129</v>
      </c>
      <c r="FK15" s="73">
        <f t="shared" si="213"/>
        <v>0</v>
      </c>
      <c r="FL15" s="69" t="s">
        <v>8</v>
      </c>
      <c r="FM15" s="25" t="s">
        <v>8</v>
      </c>
      <c r="FN15" s="30">
        <f t="shared" si="214"/>
        <v>0.7786521563928237</v>
      </c>
      <c r="FO15" s="28">
        <f t="shared" si="215"/>
        <v>1.2367850858444274E-2</v>
      </c>
      <c r="FP15" s="29">
        <f t="shared" si="216"/>
        <v>115089.13355946129</v>
      </c>
      <c r="FQ15" s="73">
        <f t="shared" si="217"/>
        <v>0</v>
      </c>
      <c r="FR15" s="69" t="s">
        <v>8</v>
      </c>
      <c r="FS15" s="25" t="s">
        <v>8</v>
      </c>
      <c r="FT15" s="30">
        <f t="shared" si="218"/>
        <v>0.7786521563928237</v>
      </c>
      <c r="FU15" s="28">
        <f t="shared" si="219"/>
        <v>1.2367850858444274E-2</v>
      </c>
      <c r="FV15" s="29">
        <f t="shared" si="220"/>
        <v>115089.13355946129</v>
      </c>
      <c r="FW15" s="73">
        <f t="shared" si="221"/>
        <v>0</v>
      </c>
      <c r="FX15" s="69" t="s">
        <v>8</v>
      </c>
      <c r="FY15" s="25" t="s">
        <v>8</v>
      </c>
      <c r="FZ15" s="30">
        <f t="shared" si="222"/>
        <v>0.7786521563928237</v>
      </c>
      <c r="GA15" s="28">
        <f t="shared" si="223"/>
        <v>1.2367850858444274E-2</v>
      </c>
      <c r="GB15" s="29">
        <f t="shared" si="224"/>
        <v>115089.13355946129</v>
      </c>
      <c r="GC15" s="73">
        <f t="shared" si="225"/>
        <v>0</v>
      </c>
      <c r="GD15" s="69" t="s">
        <v>8</v>
      </c>
      <c r="GE15" s="25" t="s">
        <v>8</v>
      </c>
      <c r="GF15" s="30">
        <f t="shared" si="226"/>
        <v>0.7786521563928237</v>
      </c>
      <c r="GG15" s="28">
        <f t="shared" si="227"/>
        <v>1.2367850858444274E-2</v>
      </c>
      <c r="GH15" s="29">
        <f t="shared" si="228"/>
        <v>115089.13355946129</v>
      </c>
      <c r="GI15" s="113">
        <f t="shared" si="229"/>
        <v>0</v>
      </c>
      <c r="GJ15" s="69" t="s">
        <v>8</v>
      </c>
      <c r="GK15" s="25" t="s">
        <v>8</v>
      </c>
      <c r="GL15" s="30">
        <f t="shared" si="230"/>
        <v>0.7786521563928237</v>
      </c>
      <c r="GM15" s="28">
        <f t="shared" si="231"/>
        <v>1.2367850858444274E-2</v>
      </c>
      <c r="GN15" s="29">
        <f t="shared" si="232"/>
        <v>115089.13355946129</v>
      </c>
      <c r="GO15" s="113">
        <f t="shared" si="233"/>
        <v>0</v>
      </c>
      <c r="GP15" s="215">
        <f t="shared" si="234"/>
        <v>2599238.9213485192</v>
      </c>
      <c r="GQ15" s="238">
        <f t="shared" si="235"/>
        <v>2678363.7303131525</v>
      </c>
      <c r="GR15" s="196">
        <f t="shared" si="236"/>
        <v>0.77865215639282392</v>
      </c>
      <c r="GS15" s="242">
        <v>2678363.73</v>
      </c>
    </row>
    <row r="16" spans="1:201" s="20" customFormat="1" ht="31.5" customHeight="1" x14ac:dyDescent="0.25">
      <c r="A16" s="159" t="s">
        <v>179</v>
      </c>
      <c r="B16" s="130" t="s">
        <v>8</v>
      </c>
      <c r="C16" s="130" t="s">
        <v>8</v>
      </c>
      <c r="D16" s="130" t="s">
        <v>8</v>
      </c>
      <c r="E16" s="130" t="s">
        <v>8</v>
      </c>
      <c r="F16" s="130" t="s">
        <v>8</v>
      </c>
      <c r="G16" s="95">
        <f>'Исходные данные'!C18</f>
        <v>556</v>
      </c>
      <c r="H16" s="26">
        <f>'Исходные данные'!D18</f>
        <v>428854</v>
      </c>
      <c r="I16" s="27">
        <f>'Расчет КРП'!G14</f>
        <v>3.8058253045502948</v>
      </c>
      <c r="J16" s="102" t="s">
        <v>8</v>
      </c>
      <c r="K16" s="106">
        <f t="shared" si="109"/>
        <v>0.12097499851531743</v>
      </c>
      <c r="L16" s="70">
        <f t="shared" si="237"/>
        <v>61875.378037040908</v>
      </c>
      <c r="M16" s="66">
        <f t="shared" si="110"/>
        <v>0.13842936239245449</v>
      </c>
      <c r="N16" s="25" t="s">
        <v>8</v>
      </c>
      <c r="O16" s="28">
        <f t="shared" si="111"/>
        <v>0.13617785562964543</v>
      </c>
      <c r="P16" s="29">
        <f t="shared" si="112"/>
        <v>514815.92894090881</v>
      </c>
      <c r="Q16" s="73">
        <f t="shared" si="113"/>
        <v>514815.92894090881</v>
      </c>
      <c r="R16" s="135" t="s">
        <v>8</v>
      </c>
      <c r="S16" s="25" t="s">
        <v>8</v>
      </c>
      <c r="T16" s="30">
        <f t="shared" si="114"/>
        <v>0.28365327598376577</v>
      </c>
      <c r="U16" s="28">
        <f t="shared" si="115"/>
        <v>6.6778465493330774E-2</v>
      </c>
      <c r="V16" s="46">
        <f t="shared" si="116"/>
        <v>288935.24337574071</v>
      </c>
      <c r="W16" s="73">
        <f t="shared" si="117"/>
        <v>288935.24337574071</v>
      </c>
      <c r="X16" s="69" t="s">
        <v>8</v>
      </c>
      <c r="Y16" s="25" t="s">
        <v>8</v>
      </c>
      <c r="Z16" s="30">
        <f t="shared" si="118"/>
        <v>0.36515873154300765</v>
      </c>
      <c r="AA16" s="28">
        <f t="shared" si="119"/>
        <v>4.970813281094999E-2</v>
      </c>
      <c r="AB16" s="46">
        <f t="shared" si="120"/>
        <v>238005.62132635564</v>
      </c>
      <c r="AC16" s="73">
        <f t="shared" si="121"/>
        <v>238005.62132635564</v>
      </c>
      <c r="AD16" s="69" t="s">
        <v>8</v>
      </c>
      <c r="AE16" s="25" t="s">
        <v>8</v>
      </c>
      <c r="AF16" s="30">
        <f t="shared" si="122"/>
        <v>0.43229750064996031</v>
      </c>
      <c r="AG16" s="28">
        <f t="shared" si="123"/>
        <v>3.9369107329635666E-2</v>
      </c>
      <c r="AH16" s="46">
        <f t="shared" si="124"/>
        <v>204703.80994905031</v>
      </c>
      <c r="AI16" s="73">
        <f t="shared" si="125"/>
        <v>204703.80994905031</v>
      </c>
      <c r="AJ16" s="69" t="s">
        <v>8</v>
      </c>
      <c r="AK16" s="25" t="s">
        <v>8</v>
      </c>
      <c r="AL16" s="30">
        <f t="shared" si="126"/>
        <v>0.49004219489244416</v>
      </c>
      <c r="AM16" s="28">
        <f t="shared" si="127"/>
        <v>3.3780832280212558E-2</v>
      </c>
      <c r="AN16" s="46">
        <f t="shared" si="128"/>
        <v>188444.12006194607</v>
      </c>
      <c r="AO16" s="73">
        <f t="shared" si="129"/>
        <v>188444.12006194607</v>
      </c>
      <c r="AP16" s="69" t="s">
        <v>8</v>
      </c>
      <c r="AQ16" s="25" t="s">
        <v>8</v>
      </c>
      <c r="AR16" s="30">
        <f t="shared" si="130"/>
        <v>0.54320020937922575</v>
      </c>
      <c r="AS16" s="28">
        <f t="shared" si="131"/>
        <v>2.7459858048810792E-2</v>
      </c>
      <c r="AT16" s="46">
        <f t="shared" si="132"/>
        <v>162517.78268343353</v>
      </c>
      <c r="AU16" s="73">
        <f t="shared" si="133"/>
        <v>162517.78268343353</v>
      </c>
      <c r="AV16" s="69" t="s">
        <v>8</v>
      </c>
      <c r="AW16" s="25" t="s">
        <v>8</v>
      </c>
      <c r="AX16" s="30">
        <f t="shared" si="134"/>
        <v>0.58904468912953944</v>
      </c>
      <c r="AY16" s="28">
        <f t="shared" si="135"/>
        <v>2.2618296432347029E-2</v>
      </c>
      <c r="AZ16" s="46">
        <f t="shared" si="136"/>
        <v>140597.77330546628</v>
      </c>
      <c r="BA16" s="73">
        <f t="shared" si="137"/>
        <v>140597.77330546628</v>
      </c>
      <c r="BB16" s="69" t="s">
        <v>8</v>
      </c>
      <c r="BC16" s="25" t="s">
        <v>8</v>
      </c>
      <c r="BD16" s="30">
        <f t="shared" si="138"/>
        <v>0.6287057752261731</v>
      </c>
      <c r="BE16" s="28">
        <f t="shared" si="139"/>
        <v>2.0787615591446262E-2</v>
      </c>
      <c r="BF16" s="46">
        <f t="shared" si="140"/>
        <v>138774.30945568852</v>
      </c>
      <c r="BG16" s="73">
        <f t="shared" si="141"/>
        <v>138774.30945568852</v>
      </c>
      <c r="BH16" s="69" t="s">
        <v>8</v>
      </c>
      <c r="BI16" s="25" t="s">
        <v>8</v>
      </c>
      <c r="BJ16" s="30">
        <f t="shared" si="142"/>
        <v>0.66785248221821736</v>
      </c>
      <c r="BK16" s="28">
        <f t="shared" si="143"/>
        <v>1.831119183734764E-2</v>
      </c>
      <c r="BL16" s="46">
        <f t="shared" si="144"/>
        <v>129246.70984499493</v>
      </c>
      <c r="BM16" s="73">
        <f t="shared" si="145"/>
        <v>129246.70984499493</v>
      </c>
      <c r="BN16" s="69" t="s">
        <v>8</v>
      </c>
      <c r="BO16" s="25" t="s">
        <v>8</v>
      </c>
      <c r="BP16" s="30">
        <f t="shared" si="146"/>
        <v>0.70431155810793244</v>
      </c>
      <c r="BQ16" s="28">
        <f t="shared" si="147"/>
        <v>1.6567322200224943E-2</v>
      </c>
      <c r="BR16" s="46">
        <f t="shared" si="148"/>
        <v>123831.64953888072</v>
      </c>
      <c r="BS16" s="113">
        <f t="shared" si="149"/>
        <v>123831.64953888072</v>
      </c>
      <c r="BT16" s="69" t="s">
        <v>8</v>
      </c>
      <c r="BU16" s="25" t="s">
        <v>8</v>
      </c>
      <c r="BV16" s="30">
        <f t="shared" si="150"/>
        <v>0.7392431050192716</v>
      </c>
      <c r="BW16" s="28">
        <f t="shared" si="151"/>
        <v>1.4331102903040627E-2</v>
      </c>
      <c r="BX16" s="46">
        <f t="shared" si="152"/>
        <v>111968.58656626282</v>
      </c>
      <c r="BY16" s="113">
        <f t="shared" si="153"/>
        <v>111968.58656626282</v>
      </c>
      <c r="BZ16" s="69" t="s">
        <v>8</v>
      </c>
      <c r="CA16" s="25" t="s">
        <v>8</v>
      </c>
      <c r="CB16" s="30">
        <f t="shared" si="154"/>
        <v>0.77082821229031462</v>
      </c>
      <c r="CC16" s="28">
        <f t="shared" si="155"/>
        <v>1.2918850086261702E-2</v>
      </c>
      <c r="CD16" s="46">
        <f t="shared" si="156"/>
        <v>105727.02905636598</v>
      </c>
      <c r="CE16" s="113">
        <f t="shared" si="157"/>
        <v>27724.165553581108</v>
      </c>
      <c r="CF16" s="69" t="s">
        <v>8</v>
      </c>
      <c r="CG16" s="25" t="s">
        <v>8</v>
      </c>
      <c r="CH16" s="30">
        <f t="shared" si="158"/>
        <v>0.77864889458937858</v>
      </c>
      <c r="CI16" s="28">
        <f t="shared" si="159"/>
        <v>1.2371112661889394E-2</v>
      </c>
      <c r="CJ16" s="46">
        <f t="shared" si="160"/>
        <v>102120.04637743237</v>
      </c>
      <c r="CK16" s="113">
        <f t="shared" si="161"/>
        <v>0</v>
      </c>
      <c r="CL16" s="69" t="s">
        <v>8</v>
      </c>
      <c r="CM16" s="25" t="s">
        <v>8</v>
      </c>
      <c r="CN16" s="30">
        <f t="shared" si="162"/>
        <v>0.77864889458937858</v>
      </c>
      <c r="CO16" s="28">
        <f t="shared" si="163"/>
        <v>1.2371112661889394E-2</v>
      </c>
      <c r="CP16" s="46">
        <f t="shared" si="164"/>
        <v>102120.04637743237</v>
      </c>
      <c r="CQ16" s="113">
        <f t="shared" si="165"/>
        <v>0</v>
      </c>
      <c r="CR16" s="69" t="s">
        <v>8</v>
      </c>
      <c r="CS16" s="25" t="s">
        <v>8</v>
      </c>
      <c r="CT16" s="30">
        <f t="shared" si="166"/>
        <v>0.77864889458937858</v>
      </c>
      <c r="CU16" s="28">
        <f t="shared" si="167"/>
        <v>1.2371112661889394E-2</v>
      </c>
      <c r="CV16" s="46">
        <f t="shared" si="168"/>
        <v>102120.04637743237</v>
      </c>
      <c r="CW16" s="113">
        <f t="shared" si="169"/>
        <v>0</v>
      </c>
      <c r="CX16" s="69" t="s">
        <v>8</v>
      </c>
      <c r="CY16" s="25" t="s">
        <v>8</v>
      </c>
      <c r="CZ16" s="30">
        <f t="shared" si="170"/>
        <v>0.77864889458937858</v>
      </c>
      <c r="DA16" s="28">
        <f t="shared" si="171"/>
        <v>1.2371112661889394E-2</v>
      </c>
      <c r="DB16" s="46">
        <f t="shared" si="172"/>
        <v>102120.04637743237</v>
      </c>
      <c r="DC16" s="113">
        <f t="shared" si="173"/>
        <v>0</v>
      </c>
      <c r="DD16" s="69" t="s">
        <v>8</v>
      </c>
      <c r="DE16" s="25" t="s">
        <v>8</v>
      </c>
      <c r="DF16" s="30">
        <f t="shared" si="174"/>
        <v>0.77864889458937858</v>
      </c>
      <c r="DG16" s="28">
        <f t="shared" si="175"/>
        <v>1.2371112661889394E-2</v>
      </c>
      <c r="DH16" s="46">
        <f t="shared" si="176"/>
        <v>102120.04637743237</v>
      </c>
      <c r="DI16" s="113">
        <f t="shared" si="177"/>
        <v>0</v>
      </c>
      <c r="DJ16" s="69" t="s">
        <v>8</v>
      </c>
      <c r="DK16" s="25" t="s">
        <v>8</v>
      </c>
      <c r="DL16" s="30">
        <f t="shared" si="178"/>
        <v>0.77864889458937858</v>
      </c>
      <c r="DM16" s="28">
        <f t="shared" si="179"/>
        <v>1.2371112661889394E-2</v>
      </c>
      <c r="DN16" s="46">
        <f t="shared" si="180"/>
        <v>102120.04637743237</v>
      </c>
      <c r="DO16" s="113">
        <f t="shared" si="181"/>
        <v>0</v>
      </c>
      <c r="DP16" s="69" t="s">
        <v>8</v>
      </c>
      <c r="DQ16" s="25" t="s">
        <v>8</v>
      </c>
      <c r="DR16" s="30">
        <f t="shared" si="182"/>
        <v>0.77864889458937858</v>
      </c>
      <c r="DS16" s="28">
        <f t="shared" si="183"/>
        <v>1.2371112661889394E-2</v>
      </c>
      <c r="DT16" s="46">
        <f t="shared" si="184"/>
        <v>102120.04637743237</v>
      </c>
      <c r="DU16" s="113">
        <f t="shared" si="185"/>
        <v>0</v>
      </c>
      <c r="DV16" s="69" t="s">
        <v>8</v>
      </c>
      <c r="DW16" s="25" t="s">
        <v>8</v>
      </c>
      <c r="DX16" s="30">
        <f t="shared" si="186"/>
        <v>0.77864889458937858</v>
      </c>
      <c r="DY16" s="28">
        <f t="shared" si="187"/>
        <v>1.2371112661889394E-2</v>
      </c>
      <c r="DZ16" s="29">
        <f t="shared" si="188"/>
        <v>102120.04637743237</v>
      </c>
      <c r="EA16" s="73">
        <f t="shared" si="189"/>
        <v>0</v>
      </c>
      <c r="EB16" s="69" t="s">
        <v>8</v>
      </c>
      <c r="EC16" s="25" t="s">
        <v>8</v>
      </c>
      <c r="ED16" s="30">
        <f t="shared" si="190"/>
        <v>0.77864889458937858</v>
      </c>
      <c r="EE16" s="28">
        <f t="shared" si="191"/>
        <v>1.2371112661889394E-2</v>
      </c>
      <c r="EF16" s="29">
        <f t="shared" si="192"/>
        <v>102120.04637743237</v>
      </c>
      <c r="EG16" s="73">
        <f t="shared" si="193"/>
        <v>0</v>
      </c>
      <c r="EH16" s="69" t="s">
        <v>8</v>
      </c>
      <c r="EI16" s="25" t="s">
        <v>8</v>
      </c>
      <c r="EJ16" s="30">
        <f t="shared" si="194"/>
        <v>0.77864889458937858</v>
      </c>
      <c r="EK16" s="28">
        <f t="shared" si="195"/>
        <v>1.2371112661889394E-2</v>
      </c>
      <c r="EL16" s="29">
        <f t="shared" si="196"/>
        <v>102120.04637743237</v>
      </c>
      <c r="EM16" s="73">
        <f t="shared" si="197"/>
        <v>0</v>
      </c>
      <c r="EN16" s="69" t="s">
        <v>8</v>
      </c>
      <c r="EO16" s="25" t="s">
        <v>8</v>
      </c>
      <c r="EP16" s="30">
        <f t="shared" si="198"/>
        <v>0.77864889458937858</v>
      </c>
      <c r="EQ16" s="28">
        <f t="shared" si="199"/>
        <v>1.2371112661889394E-2</v>
      </c>
      <c r="ER16" s="29">
        <f t="shared" si="200"/>
        <v>102120.04637743237</v>
      </c>
      <c r="ES16" s="73">
        <f t="shared" si="201"/>
        <v>0</v>
      </c>
      <c r="ET16" s="69" t="s">
        <v>8</v>
      </c>
      <c r="EU16" s="25" t="s">
        <v>8</v>
      </c>
      <c r="EV16" s="30">
        <f t="shared" si="202"/>
        <v>0.77864889458937858</v>
      </c>
      <c r="EW16" s="28">
        <f t="shared" si="203"/>
        <v>1.2371112661889394E-2</v>
      </c>
      <c r="EX16" s="29">
        <f t="shared" si="204"/>
        <v>102120.04637743237</v>
      </c>
      <c r="EY16" s="73">
        <f t="shared" si="205"/>
        <v>0</v>
      </c>
      <c r="EZ16" s="69" t="s">
        <v>8</v>
      </c>
      <c r="FA16" s="25" t="s">
        <v>8</v>
      </c>
      <c r="FB16" s="30">
        <f t="shared" si="206"/>
        <v>0.77864889458937858</v>
      </c>
      <c r="FC16" s="28">
        <f t="shared" si="207"/>
        <v>1.2371112661889394E-2</v>
      </c>
      <c r="FD16" s="29">
        <f t="shared" si="208"/>
        <v>102120.04637743237</v>
      </c>
      <c r="FE16" s="73">
        <f t="shared" si="209"/>
        <v>0</v>
      </c>
      <c r="FF16" s="69" t="s">
        <v>8</v>
      </c>
      <c r="FG16" s="25" t="s">
        <v>8</v>
      </c>
      <c r="FH16" s="30">
        <f t="shared" si="210"/>
        <v>0.77864889458937858</v>
      </c>
      <c r="FI16" s="28">
        <f t="shared" si="211"/>
        <v>1.2371112661889394E-2</v>
      </c>
      <c r="FJ16" s="29">
        <f t="shared" si="212"/>
        <v>102120.04637743237</v>
      </c>
      <c r="FK16" s="73">
        <f t="shared" si="213"/>
        <v>0</v>
      </c>
      <c r="FL16" s="69" t="s">
        <v>8</v>
      </c>
      <c r="FM16" s="25" t="s">
        <v>8</v>
      </c>
      <c r="FN16" s="30">
        <f t="shared" si="214"/>
        <v>0.77864889458937858</v>
      </c>
      <c r="FO16" s="28">
        <f t="shared" si="215"/>
        <v>1.2371112661889394E-2</v>
      </c>
      <c r="FP16" s="29">
        <f t="shared" si="216"/>
        <v>102120.04637743237</v>
      </c>
      <c r="FQ16" s="73">
        <f t="shared" si="217"/>
        <v>0</v>
      </c>
      <c r="FR16" s="69" t="s">
        <v>8</v>
      </c>
      <c r="FS16" s="25" t="s">
        <v>8</v>
      </c>
      <c r="FT16" s="30">
        <f t="shared" si="218"/>
        <v>0.77864889458937858</v>
      </c>
      <c r="FU16" s="28">
        <f t="shared" si="219"/>
        <v>1.2371112661889394E-2</v>
      </c>
      <c r="FV16" s="29">
        <f t="shared" si="220"/>
        <v>102120.04637743237</v>
      </c>
      <c r="FW16" s="73">
        <f t="shared" si="221"/>
        <v>0</v>
      </c>
      <c r="FX16" s="69" t="s">
        <v>8</v>
      </c>
      <c r="FY16" s="25" t="s">
        <v>8</v>
      </c>
      <c r="FZ16" s="30">
        <f t="shared" si="222"/>
        <v>0.77864889458937858</v>
      </c>
      <c r="GA16" s="28">
        <f t="shared" si="223"/>
        <v>1.2371112661889394E-2</v>
      </c>
      <c r="GB16" s="29">
        <f t="shared" si="224"/>
        <v>102120.04637743237</v>
      </c>
      <c r="GC16" s="73">
        <f t="shared" si="225"/>
        <v>0</v>
      </c>
      <c r="GD16" s="69" t="s">
        <v>8</v>
      </c>
      <c r="GE16" s="25" t="s">
        <v>8</v>
      </c>
      <c r="GF16" s="30">
        <f t="shared" si="226"/>
        <v>0.77864889458937858</v>
      </c>
      <c r="GG16" s="28">
        <f t="shared" si="227"/>
        <v>1.2371112661889394E-2</v>
      </c>
      <c r="GH16" s="29">
        <f t="shared" si="228"/>
        <v>102120.04637743237</v>
      </c>
      <c r="GI16" s="113">
        <f t="shared" si="229"/>
        <v>0</v>
      </c>
      <c r="GJ16" s="69" t="s">
        <v>8</v>
      </c>
      <c r="GK16" s="25" t="s">
        <v>8</v>
      </c>
      <c r="GL16" s="30">
        <f t="shared" si="230"/>
        <v>0.77864889458937858</v>
      </c>
      <c r="GM16" s="28">
        <f t="shared" si="231"/>
        <v>1.2371112661889394E-2</v>
      </c>
      <c r="GN16" s="29">
        <f t="shared" si="232"/>
        <v>102120.04637743237</v>
      </c>
      <c r="GO16" s="113">
        <f t="shared" si="233"/>
        <v>0</v>
      </c>
      <c r="GP16" s="215">
        <f t="shared" si="234"/>
        <v>2269565.7006023093</v>
      </c>
      <c r="GQ16" s="238">
        <f t="shared" si="235"/>
        <v>2331441.0786393504</v>
      </c>
      <c r="GR16" s="196">
        <f t="shared" si="236"/>
        <v>0.77864889458937869</v>
      </c>
      <c r="GS16" s="242">
        <v>2331441.08</v>
      </c>
    </row>
    <row r="17" spans="1:201" s="20" customFormat="1" x14ac:dyDescent="0.25">
      <c r="A17" s="159" t="s">
        <v>180</v>
      </c>
      <c r="B17" s="130" t="s">
        <v>8</v>
      </c>
      <c r="C17" s="130" t="s">
        <v>8</v>
      </c>
      <c r="D17" s="130" t="s">
        <v>8</v>
      </c>
      <c r="E17" s="130" t="s">
        <v>8</v>
      </c>
      <c r="F17" s="130" t="s">
        <v>8</v>
      </c>
      <c r="G17" s="95">
        <f>'Исходные данные'!C19</f>
        <v>497</v>
      </c>
      <c r="H17" s="26">
        <f>'Исходные данные'!D19</f>
        <v>778112</v>
      </c>
      <c r="I17" s="27">
        <f>'Расчет КРП'!G15</f>
        <v>4.2943000806133407</v>
      </c>
      <c r="J17" s="102" t="s">
        <v>8</v>
      </c>
      <c r="K17" s="106">
        <f t="shared" si="109"/>
        <v>0.21762216993287878</v>
      </c>
      <c r="L17" s="70">
        <f t="shared" si="237"/>
        <v>55309.465619441246</v>
      </c>
      <c r="M17" s="66">
        <f t="shared" si="110"/>
        <v>0.23309110747134468</v>
      </c>
      <c r="N17" s="25" t="s">
        <v>8</v>
      </c>
      <c r="O17" s="28">
        <f t="shared" si="111"/>
        <v>4.1516110550755242E-2</v>
      </c>
      <c r="P17" s="29">
        <f t="shared" si="112"/>
        <v>158302.32064962914</v>
      </c>
      <c r="Q17" s="73">
        <f t="shared" si="113"/>
        <v>158302.32064962914</v>
      </c>
      <c r="R17" s="135" t="s">
        <v>8</v>
      </c>
      <c r="S17" s="25" t="s">
        <v>8</v>
      </c>
      <c r="T17" s="30">
        <f t="shared" si="114"/>
        <v>0.27736506099626479</v>
      </c>
      <c r="U17" s="28">
        <f t="shared" si="115"/>
        <v>7.3066680480831758E-2</v>
      </c>
      <c r="V17" s="46">
        <f t="shared" si="116"/>
        <v>318866.28197669488</v>
      </c>
      <c r="W17" s="73">
        <f t="shared" si="117"/>
        <v>318866.28197669488</v>
      </c>
      <c r="X17" s="69" t="s">
        <v>8</v>
      </c>
      <c r="Y17" s="25" t="s">
        <v>8</v>
      </c>
      <c r="Z17" s="30">
        <f t="shared" si="118"/>
        <v>0.36654550314623491</v>
      </c>
      <c r="AA17" s="28">
        <f t="shared" si="119"/>
        <v>4.8321361207722735E-2</v>
      </c>
      <c r="AB17" s="46">
        <f t="shared" si="120"/>
        <v>233358.7346701753</v>
      </c>
      <c r="AC17" s="73">
        <f t="shared" si="121"/>
        <v>233358.7346701753</v>
      </c>
      <c r="AD17" s="69" t="s">
        <v>8</v>
      </c>
      <c r="AE17" s="25" t="s">
        <v>8</v>
      </c>
      <c r="AF17" s="30">
        <f t="shared" si="122"/>
        <v>0.43181121580934057</v>
      </c>
      <c r="AG17" s="28">
        <f t="shared" si="123"/>
        <v>3.985539217025541E-2</v>
      </c>
      <c r="AH17" s="46">
        <f t="shared" si="124"/>
        <v>209017.46781514731</v>
      </c>
      <c r="AI17" s="73">
        <f t="shared" si="125"/>
        <v>209017.46781514731</v>
      </c>
      <c r="AJ17" s="69" t="s">
        <v>8</v>
      </c>
      <c r="AK17" s="25" t="s">
        <v>8</v>
      </c>
      <c r="AL17" s="30">
        <f t="shared" si="126"/>
        <v>0.49026916903433637</v>
      </c>
      <c r="AM17" s="28">
        <f t="shared" si="127"/>
        <v>3.3553858138320347E-2</v>
      </c>
      <c r="AN17" s="46">
        <f t="shared" si="128"/>
        <v>188790.3738687463</v>
      </c>
      <c r="AO17" s="73">
        <f t="shared" si="129"/>
        <v>188790.3738687463</v>
      </c>
      <c r="AP17" s="69" t="s">
        <v>8</v>
      </c>
      <c r="AQ17" s="25" t="s">
        <v>8</v>
      </c>
      <c r="AR17" s="30">
        <f t="shared" si="130"/>
        <v>0.54307001367335506</v>
      </c>
      <c r="AS17" s="28">
        <f t="shared" si="131"/>
        <v>2.7590053754681487E-2</v>
      </c>
      <c r="AT17" s="46">
        <f t="shared" si="132"/>
        <v>164694.95051909026</v>
      </c>
      <c r="AU17" s="73">
        <f t="shared" si="133"/>
        <v>164694.95051909026</v>
      </c>
      <c r="AV17" s="69" t="s">
        <v>8</v>
      </c>
      <c r="AW17" s="25" t="s">
        <v>8</v>
      </c>
      <c r="AX17" s="30">
        <f t="shared" si="134"/>
        <v>0.5891318563244804</v>
      </c>
      <c r="AY17" s="28">
        <f t="shared" si="135"/>
        <v>2.2531129237406078E-2</v>
      </c>
      <c r="AZ17" s="46">
        <f t="shared" si="136"/>
        <v>141262.4215315475</v>
      </c>
      <c r="BA17" s="73">
        <f t="shared" si="137"/>
        <v>141262.4215315475</v>
      </c>
      <c r="BB17" s="69" t="s">
        <v>8</v>
      </c>
      <c r="BC17" s="25" t="s">
        <v>8</v>
      </c>
      <c r="BD17" s="30">
        <f t="shared" si="138"/>
        <v>0.62864009511744123</v>
      </c>
      <c r="BE17" s="28">
        <f t="shared" si="139"/>
        <v>2.0853295700178132E-2</v>
      </c>
      <c r="BF17" s="46">
        <f t="shared" si="140"/>
        <v>140412.00352101895</v>
      </c>
      <c r="BG17" s="73">
        <f t="shared" si="141"/>
        <v>140412.00352101895</v>
      </c>
      <c r="BH17" s="69" t="s">
        <v>8</v>
      </c>
      <c r="BI17" s="25" t="s">
        <v>8</v>
      </c>
      <c r="BJ17" s="30">
        <f t="shared" si="142"/>
        <v>0.66791048921349316</v>
      </c>
      <c r="BK17" s="28">
        <f t="shared" si="143"/>
        <v>1.8253184842071835E-2</v>
      </c>
      <c r="BL17" s="46">
        <f t="shared" si="144"/>
        <v>129947.1241034353</v>
      </c>
      <c r="BM17" s="73">
        <f t="shared" si="145"/>
        <v>129947.1241034353</v>
      </c>
      <c r="BN17" s="69" t="s">
        <v>8</v>
      </c>
      <c r="BO17" s="25" t="s">
        <v>8</v>
      </c>
      <c r="BP17" s="30">
        <f t="shared" si="146"/>
        <v>0.70425406844620864</v>
      </c>
      <c r="BQ17" s="28">
        <f t="shared" si="147"/>
        <v>1.6624811861948752E-2</v>
      </c>
      <c r="BR17" s="46">
        <f t="shared" si="148"/>
        <v>125331.78234148245</v>
      </c>
      <c r="BS17" s="113">
        <f t="shared" si="149"/>
        <v>125331.78234148245</v>
      </c>
      <c r="BT17" s="69" t="s">
        <v>8</v>
      </c>
      <c r="BU17" s="25" t="s">
        <v>8</v>
      </c>
      <c r="BV17" s="30">
        <f t="shared" si="150"/>
        <v>0.73930683004699194</v>
      </c>
      <c r="BW17" s="28">
        <f t="shared" si="151"/>
        <v>1.4267377875320286E-2</v>
      </c>
      <c r="BX17" s="46">
        <f t="shared" si="152"/>
        <v>112430.95049962154</v>
      </c>
      <c r="BY17" s="113">
        <f t="shared" si="153"/>
        <v>112430.95049962154</v>
      </c>
      <c r="BZ17" s="69" t="s">
        <v>8</v>
      </c>
      <c r="CA17" s="25" t="s">
        <v>8</v>
      </c>
      <c r="CB17" s="30">
        <f t="shared" si="154"/>
        <v>0.77075149021846312</v>
      </c>
      <c r="CC17" s="28">
        <f t="shared" si="155"/>
        <v>1.29955721581132E-2</v>
      </c>
      <c r="CD17" s="46">
        <f t="shared" si="156"/>
        <v>107271.09454467728</v>
      </c>
      <c r="CE17" s="113">
        <f t="shared" si="157"/>
        <v>28129.056598052732</v>
      </c>
      <c r="CF17" s="69" t="s">
        <v>8</v>
      </c>
      <c r="CG17" s="25" t="s">
        <v>8</v>
      </c>
      <c r="CH17" s="30">
        <f t="shared" si="158"/>
        <v>0.77861861774641927</v>
      </c>
      <c r="CI17" s="28">
        <f t="shared" si="159"/>
        <v>1.2401389504848703E-2</v>
      </c>
      <c r="CJ17" s="46">
        <f t="shared" si="160"/>
        <v>103251.82256804504</v>
      </c>
      <c r="CK17" s="113">
        <f t="shared" si="161"/>
        <v>0</v>
      </c>
      <c r="CL17" s="69" t="s">
        <v>8</v>
      </c>
      <c r="CM17" s="25" t="s">
        <v>8</v>
      </c>
      <c r="CN17" s="30">
        <f t="shared" si="162"/>
        <v>0.77861861774641927</v>
      </c>
      <c r="CO17" s="28">
        <f t="shared" si="163"/>
        <v>1.2401389504848703E-2</v>
      </c>
      <c r="CP17" s="46">
        <f t="shared" si="164"/>
        <v>103251.82256804504</v>
      </c>
      <c r="CQ17" s="113">
        <f t="shared" si="165"/>
        <v>0</v>
      </c>
      <c r="CR17" s="69" t="s">
        <v>8</v>
      </c>
      <c r="CS17" s="25" t="s">
        <v>8</v>
      </c>
      <c r="CT17" s="30">
        <f t="shared" si="166"/>
        <v>0.77861861774641927</v>
      </c>
      <c r="CU17" s="28">
        <f t="shared" si="167"/>
        <v>1.2401389504848703E-2</v>
      </c>
      <c r="CV17" s="46">
        <f t="shared" si="168"/>
        <v>103251.82256804504</v>
      </c>
      <c r="CW17" s="113">
        <f t="shared" si="169"/>
        <v>0</v>
      </c>
      <c r="CX17" s="69" t="s">
        <v>8</v>
      </c>
      <c r="CY17" s="25" t="s">
        <v>8</v>
      </c>
      <c r="CZ17" s="30">
        <f t="shared" si="170"/>
        <v>0.77861861774641927</v>
      </c>
      <c r="DA17" s="28">
        <f t="shared" si="171"/>
        <v>1.2401389504848703E-2</v>
      </c>
      <c r="DB17" s="46">
        <f t="shared" si="172"/>
        <v>103251.82256804504</v>
      </c>
      <c r="DC17" s="113">
        <f t="shared" si="173"/>
        <v>0</v>
      </c>
      <c r="DD17" s="69" t="s">
        <v>8</v>
      </c>
      <c r="DE17" s="25" t="s">
        <v>8</v>
      </c>
      <c r="DF17" s="30">
        <f t="shared" si="174"/>
        <v>0.77861861774641927</v>
      </c>
      <c r="DG17" s="28">
        <f t="shared" si="175"/>
        <v>1.2401389504848703E-2</v>
      </c>
      <c r="DH17" s="46">
        <f t="shared" si="176"/>
        <v>103251.82256804504</v>
      </c>
      <c r="DI17" s="113">
        <f t="shared" si="177"/>
        <v>0</v>
      </c>
      <c r="DJ17" s="69" t="s">
        <v>8</v>
      </c>
      <c r="DK17" s="25" t="s">
        <v>8</v>
      </c>
      <c r="DL17" s="30">
        <f t="shared" si="178"/>
        <v>0.77861861774641927</v>
      </c>
      <c r="DM17" s="28">
        <f t="shared" si="179"/>
        <v>1.2401389504848703E-2</v>
      </c>
      <c r="DN17" s="46">
        <f t="shared" si="180"/>
        <v>103251.82256804504</v>
      </c>
      <c r="DO17" s="113">
        <f t="shared" si="181"/>
        <v>0</v>
      </c>
      <c r="DP17" s="69" t="s">
        <v>8</v>
      </c>
      <c r="DQ17" s="25" t="s">
        <v>8</v>
      </c>
      <c r="DR17" s="30">
        <f t="shared" si="182"/>
        <v>0.77861861774641927</v>
      </c>
      <c r="DS17" s="28">
        <f t="shared" si="183"/>
        <v>1.2401389504848703E-2</v>
      </c>
      <c r="DT17" s="46">
        <f t="shared" si="184"/>
        <v>103251.82256804504</v>
      </c>
      <c r="DU17" s="113">
        <f t="shared" si="185"/>
        <v>0</v>
      </c>
      <c r="DV17" s="69" t="s">
        <v>8</v>
      </c>
      <c r="DW17" s="25" t="s">
        <v>8</v>
      </c>
      <c r="DX17" s="30">
        <f t="shared" si="186"/>
        <v>0.77861861774641927</v>
      </c>
      <c r="DY17" s="28">
        <f t="shared" si="187"/>
        <v>1.2401389504848703E-2</v>
      </c>
      <c r="DZ17" s="29">
        <f t="shared" si="188"/>
        <v>103251.82256804504</v>
      </c>
      <c r="EA17" s="73">
        <f t="shared" si="189"/>
        <v>0</v>
      </c>
      <c r="EB17" s="69" t="s">
        <v>8</v>
      </c>
      <c r="EC17" s="25" t="s">
        <v>8</v>
      </c>
      <c r="ED17" s="30">
        <f t="shared" si="190"/>
        <v>0.77861861774641927</v>
      </c>
      <c r="EE17" s="28">
        <f t="shared" si="191"/>
        <v>1.2401389504848703E-2</v>
      </c>
      <c r="EF17" s="29">
        <f t="shared" si="192"/>
        <v>103251.82256804504</v>
      </c>
      <c r="EG17" s="73">
        <f t="shared" si="193"/>
        <v>0</v>
      </c>
      <c r="EH17" s="69" t="s">
        <v>8</v>
      </c>
      <c r="EI17" s="25" t="s">
        <v>8</v>
      </c>
      <c r="EJ17" s="30">
        <f t="shared" si="194"/>
        <v>0.77861861774641927</v>
      </c>
      <c r="EK17" s="28">
        <f t="shared" si="195"/>
        <v>1.2401389504848703E-2</v>
      </c>
      <c r="EL17" s="29">
        <f t="shared" si="196"/>
        <v>103251.82256804504</v>
      </c>
      <c r="EM17" s="73">
        <f t="shared" si="197"/>
        <v>0</v>
      </c>
      <c r="EN17" s="69" t="s">
        <v>8</v>
      </c>
      <c r="EO17" s="25" t="s">
        <v>8</v>
      </c>
      <c r="EP17" s="30">
        <f t="shared" si="198"/>
        <v>0.77861861774641927</v>
      </c>
      <c r="EQ17" s="28">
        <f t="shared" si="199"/>
        <v>1.2401389504848703E-2</v>
      </c>
      <c r="ER17" s="29">
        <f t="shared" si="200"/>
        <v>103251.82256804504</v>
      </c>
      <c r="ES17" s="73">
        <f t="shared" si="201"/>
        <v>0</v>
      </c>
      <c r="ET17" s="69" t="s">
        <v>8</v>
      </c>
      <c r="EU17" s="25" t="s">
        <v>8</v>
      </c>
      <c r="EV17" s="30">
        <f t="shared" si="202"/>
        <v>0.77861861774641927</v>
      </c>
      <c r="EW17" s="28">
        <f t="shared" si="203"/>
        <v>1.2401389504848703E-2</v>
      </c>
      <c r="EX17" s="29">
        <f t="shared" si="204"/>
        <v>103251.82256804504</v>
      </c>
      <c r="EY17" s="73">
        <f t="shared" si="205"/>
        <v>0</v>
      </c>
      <c r="EZ17" s="69" t="s">
        <v>8</v>
      </c>
      <c r="FA17" s="25" t="s">
        <v>8</v>
      </c>
      <c r="FB17" s="30">
        <f t="shared" si="206"/>
        <v>0.77861861774641927</v>
      </c>
      <c r="FC17" s="28">
        <f t="shared" si="207"/>
        <v>1.2401389504848703E-2</v>
      </c>
      <c r="FD17" s="29">
        <f t="shared" si="208"/>
        <v>103251.82256804504</v>
      </c>
      <c r="FE17" s="73">
        <f t="shared" si="209"/>
        <v>0</v>
      </c>
      <c r="FF17" s="69" t="s">
        <v>8</v>
      </c>
      <c r="FG17" s="25" t="s">
        <v>8</v>
      </c>
      <c r="FH17" s="30">
        <f t="shared" si="210"/>
        <v>0.77861861774641927</v>
      </c>
      <c r="FI17" s="28">
        <f t="shared" si="211"/>
        <v>1.2401389504848703E-2</v>
      </c>
      <c r="FJ17" s="29">
        <f t="shared" si="212"/>
        <v>103251.82256804504</v>
      </c>
      <c r="FK17" s="73">
        <f t="shared" si="213"/>
        <v>0</v>
      </c>
      <c r="FL17" s="69" t="s">
        <v>8</v>
      </c>
      <c r="FM17" s="25" t="s">
        <v>8</v>
      </c>
      <c r="FN17" s="30">
        <f t="shared" si="214"/>
        <v>0.77861861774641927</v>
      </c>
      <c r="FO17" s="28">
        <f t="shared" si="215"/>
        <v>1.2401389504848703E-2</v>
      </c>
      <c r="FP17" s="29">
        <f t="shared" si="216"/>
        <v>103251.82256804504</v>
      </c>
      <c r="FQ17" s="73">
        <f t="shared" si="217"/>
        <v>0</v>
      </c>
      <c r="FR17" s="69" t="s">
        <v>8</v>
      </c>
      <c r="FS17" s="25" t="s">
        <v>8</v>
      </c>
      <c r="FT17" s="30">
        <f t="shared" si="218"/>
        <v>0.77861861774641927</v>
      </c>
      <c r="FU17" s="28">
        <f t="shared" si="219"/>
        <v>1.2401389504848703E-2</v>
      </c>
      <c r="FV17" s="29">
        <f t="shared" si="220"/>
        <v>103251.82256804504</v>
      </c>
      <c r="FW17" s="73">
        <f t="shared" si="221"/>
        <v>0</v>
      </c>
      <c r="FX17" s="69" t="s">
        <v>8</v>
      </c>
      <c r="FY17" s="25" t="s">
        <v>8</v>
      </c>
      <c r="FZ17" s="30">
        <f t="shared" si="222"/>
        <v>0.77861861774641927</v>
      </c>
      <c r="GA17" s="28">
        <f t="shared" si="223"/>
        <v>1.2401389504848703E-2</v>
      </c>
      <c r="GB17" s="29">
        <f t="shared" si="224"/>
        <v>103251.82256804504</v>
      </c>
      <c r="GC17" s="73">
        <f t="shared" si="225"/>
        <v>0</v>
      </c>
      <c r="GD17" s="69" t="s">
        <v>8</v>
      </c>
      <c r="GE17" s="25" t="s">
        <v>8</v>
      </c>
      <c r="GF17" s="30">
        <f t="shared" si="226"/>
        <v>0.77861861774641927</v>
      </c>
      <c r="GG17" s="28">
        <f t="shared" si="227"/>
        <v>1.2401389504848703E-2</v>
      </c>
      <c r="GH17" s="29">
        <f t="shared" si="228"/>
        <v>103251.82256804504</v>
      </c>
      <c r="GI17" s="113">
        <f t="shared" si="229"/>
        <v>0</v>
      </c>
      <c r="GJ17" s="69" t="s">
        <v>8</v>
      </c>
      <c r="GK17" s="25" t="s">
        <v>8</v>
      </c>
      <c r="GL17" s="30">
        <f t="shared" si="230"/>
        <v>0.77861861774641927</v>
      </c>
      <c r="GM17" s="28">
        <f t="shared" si="231"/>
        <v>1.2401389504848703E-2</v>
      </c>
      <c r="GN17" s="29">
        <f t="shared" si="232"/>
        <v>103251.82256804504</v>
      </c>
      <c r="GO17" s="113">
        <f t="shared" si="233"/>
        <v>0</v>
      </c>
      <c r="GP17" s="215">
        <f t="shared" si="234"/>
        <v>1950543.4680946413</v>
      </c>
      <c r="GQ17" s="238">
        <f t="shared" si="235"/>
        <v>2005852.9337140827</v>
      </c>
      <c r="GR17" s="196">
        <f t="shared" si="236"/>
        <v>0.77861861774641905</v>
      </c>
      <c r="GS17" s="242">
        <v>2005852.93</v>
      </c>
    </row>
    <row r="18" spans="1:201" s="20" customFormat="1" x14ac:dyDescent="0.25">
      <c r="A18" s="159" t="s">
        <v>181</v>
      </c>
      <c r="B18" s="130" t="s">
        <v>8</v>
      </c>
      <c r="C18" s="130" t="s">
        <v>8</v>
      </c>
      <c r="D18" s="130" t="s">
        <v>8</v>
      </c>
      <c r="E18" s="130" t="s">
        <v>8</v>
      </c>
      <c r="F18" s="130" t="s">
        <v>8</v>
      </c>
      <c r="G18" s="95">
        <f>'Исходные данные'!C20</f>
        <v>348</v>
      </c>
      <c r="H18" s="26">
        <f>'Исходные данные'!D20</f>
        <v>360903</v>
      </c>
      <c r="I18" s="27">
        <f>'Расчет КРП'!G16</f>
        <v>4.3688951952977062</v>
      </c>
      <c r="J18" s="102" t="s">
        <v>8</v>
      </c>
      <c r="K18" s="106">
        <f t="shared" si="109"/>
        <v>0.14169333516594756</v>
      </c>
      <c r="L18" s="70">
        <f t="shared" si="237"/>
        <v>38727.754598723448</v>
      </c>
      <c r="M18" s="66">
        <f t="shared" si="110"/>
        <v>0.15689815394712003</v>
      </c>
      <c r="N18" s="25" t="s">
        <v>8</v>
      </c>
      <c r="O18" s="28">
        <f t="shared" si="111"/>
        <v>0.11770906407497989</v>
      </c>
      <c r="P18" s="29">
        <f t="shared" si="112"/>
        <v>319729.43557664083</v>
      </c>
      <c r="Q18" s="73">
        <f t="shared" si="113"/>
        <v>319729.43557664083</v>
      </c>
      <c r="R18" s="135" t="s">
        <v>8</v>
      </c>
      <c r="S18" s="25" t="s">
        <v>8</v>
      </c>
      <c r="T18" s="30">
        <f t="shared" si="114"/>
        <v>0.28242642630168679</v>
      </c>
      <c r="U18" s="28">
        <f t="shared" si="115"/>
        <v>6.8005315175409753E-2</v>
      </c>
      <c r="V18" s="46">
        <f t="shared" si="116"/>
        <v>211414.20826859775</v>
      </c>
      <c r="W18" s="73">
        <f t="shared" si="117"/>
        <v>211414.20826859775</v>
      </c>
      <c r="X18" s="69" t="s">
        <v>8</v>
      </c>
      <c r="Y18" s="25" t="s">
        <v>8</v>
      </c>
      <c r="Z18" s="30">
        <f t="shared" si="118"/>
        <v>0.36542929485929337</v>
      </c>
      <c r="AA18" s="28">
        <f t="shared" si="119"/>
        <v>4.9437569494664269E-2</v>
      </c>
      <c r="AB18" s="46">
        <f t="shared" si="120"/>
        <v>170076.41992651997</v>
      </c>
      <c r="AC18" s="73">
        <f t="shared" si="121"/>
        <v>170076.41992651997</v>
      </c>
      <c r="AD18" s="69" t="s">
        <v>8</v>
      </c>
      <c r="AE18" s="25" t="s">
        <v>8</v>
      </c>
      <c r="AF18" s="30">
        <f t="shared" si="122"/>
        <v>0.43220262501302675</v>
      </c>
      <c r="AG18" s="28">
        <f t="shared" si="123"/>
        <v>3.9463982966569222E-2</v>
      </c>
      <c r="AH18" s="46">
        <f t="shared" si="124"/>
        <v>147434.29007084403</v>
      </c>
      <c r="AI18" s="73">
        <f t="shared" si="125"/>
        <v>147434.29007084403</v>
      </c>
      <c r="AJ18" s="69" t="s">
        <v>8</v>
      </c>
      <c r="AK18" s="25" t="s">
        <v>8</v>
      </c>
      <c r="AL18" s="30">
        <f t="shared" si="126"/>
        <v>0.49008647823109819</v>
      </c>
      <c r="AM18" s="28">
        <f t="shared" si="127"/>
        <v>3.3736548941558531E-2</v>
      </c>
      <c r="AN18" s="46">
        <f t="shared" si="128"/>
        <v>135219.75035548332</v>
      </c>
      <c r="AO18" s="73">
        <f t="shared" si="129"/>
        <v>135219.75035548332</v>
      </c>
      <c r="AP18" s="69" t="s">
        <v>8</v>
      </c>
      <c r="AQ18" s="25" t="s">
        <v>8</v>
      </c>
      <c r="AR18" s="30">
        <f t="shared" si="130"/>
        <v>0.54317480780490413</v>
      </c>
      <c r="AS18" s="28">
        <f t="shared" si="131"/>
        <v>2.7485259623132419E-2</v>
      </c>
      <c r="AT18" s="46">
        <f t="shared" si="132"/>
        <v>116877.1663597569</v>
      </c>
      <c r="AU18" s="73">
        <f t="shared" si="133"/>
        <v>116877.1663597569</v>
      </c>
      <c r="AV18" s="69" t="s">
        <v>8</v>
      </c>
      <c r="AW18" s="25" t="s">
        <v>8</v>
      </c>
      <c r="AX18" s="30">
        <f t="shared" si="134"/>
        <v>0.58906169571179101</v>
      </c>
      <c r="AY18" s="28">
        <f t="shared" si="135"/>
        <v>2.2601289850095463E-2</v>
      </c>
      <c r="AZ18" s="46">
        <f t="shared" si="136"/>
        <v>100943.65032419431</v>
      </c>
      <c r="BA18" s="73">
        <f t="shared" si="137"/>
        <v>100943.65032419431</v>
      </c>
      <c r="BB18" s="69" t="s">
        <v>8</v>
      </c>
      <c r="BC18" s="25" t="s">
        <v>8</v>
      </c>
      <c r="BD18" s="30">
        <f t="shared" si="138"/>
        <v>0.62869296083915294</v>
      </c>
      <c r="BE18" s="28">
        <f t="shared" si="139"/>
        <v>2.0800429978466428E-2</v>
      </c>
      <c r="BF18" s="46">
        <f t="shared" si="140"/>
        <v>99770.911521566246</v>
      </c>
      <c r="BG18" s="73">
        <f t="shared" si="141"/>
        <v>99770.911521566246</v>
      </c>
      <c r="BH18" s="69" t="s">
        <v>8</v>
      </c>
      <c r="BI18" s="25" t="s">
        <v>8</v>
      </c>
      <c r="BJ18" s="30">
        <f t="shared" si="142"/>
        <v>0.66786379955769337</v>
      </c>
      <c r="BK18" s="28">
        <f t="shared" si="143"/>
        <v>1.8299874497871627E-2</v>
      </c>
      <c r="BL18" s="46">
        <f t="shared" si="144"/>
        <v>92806.463719906795</v>
      </c>
      <c r="BM18" s="73">
        <f t="shared" si="145"/>
        <v>92806.463719906795</v>
      </c>
      <c r="BN18" s="69" t="s">
        <v>8</v>
      </c>
      <c r="BO18" s="25" t="s">
        <v>8</v>
      </c>
      <c r="BP18" s="30">
        <f t="shared" si="146"/>
        <v>0.70430034170179034</v>
      </c>
      <c r="BQ18" s="28">
        <f t="shared" si="147"/>
        <v>1.6578538606367044E-2</v>
      </c>
      <c r="BR18" s="46">
        <f t="shared" si="148"/>
        <v>89033.370425510089</v>
      </c>
      <c r="BS18" s="113">
        <f t="shared" si="149"/>
        <v>89033.370425510089</v>
      </c>
      <c r="BT18" s="69" t="s">
        <v>8</v>
      </c>
      <c r="BU18" s="25" t="s">
        <v>8</v>
      </c>
      <c r="BV18" s="30">
        <f t="shared" si="150"/>
        <v>0.73925553796409837</v>
      </c>
      <c r="BW18" s="28">
        <f t="shared" si="151"/>
        <v>1.4318669958213848E-2</v>
      </c>
      <c r="BX18" s="46">
        <f t="shared" si="152"/>
        <v>80379.720172810237</v>
      </c>
      <c r="BY18" s="113">
        <f t="shared" si="153"/>
        <v>80379.720172810237</v>
      </c>
      <c r="BZ18" s="69" t="s">
        <v>8</v>
      </c>
      <c r="CA18" s="25" t="s">
        <v>8</v>
      </c>
      <c r="CB18" s="30">
        <f t="shared" si="154"/>
        <v>0.77081324358303516</v>
      </c>
      <c r="CC18" s="28">
        <f t="shared" si="155"/>
        <v>1.2933818793541163E-2</v>
      </c>
      <c r="CD18" s="46">
        <f t="shared" si="156"/>
        <v>76052.968783564531</v>
      </c>
      <c r="CE18" s="113">
        <f t="shared" si="157"/>
        <v>19942.914467716451</v>
      </c>
      <c r="CF18" s="69" t="s">
        <v>8</v>
      </c>
      <c r="CG18" s="25" t="s">
        <v>8</v>
      </c>
      <c r="CH18" s="30">
        <f t="shared" si="158"/>
        <v>0.77864298748613359</v>
      </c>
      <c r="CI18" s="28">
        <f t="shared" si="159"/>
        <v>1.2377019765134389E-2</v>
      </c>
      <c r="CJ18" s="46">
        <f t="shared" si="160"/>
        <v>73408.365709227306</v>
      </c>
      <c r="CK18" s="113">
        <f t="shared" si="161"/>
        <v>0</v>
      </c>
      <c r="CL18" s="69" t="s">
        <v>8</v>
      </c>
      <c r="CM18" s="25" t="s">
        <v>8</v>
      </c>
      <c r="CN18" s="30">
        <f t="shared" si="162"/>
        <v>0.77864298748613359</v>
      </c>
      <c r="CO18" s="28">
        <f t="shared" si="163"/>
        <v>1.2377019765134389E-2</v>
      </c>
      <c r="CP18" s="46">
        <f t="shared" si="164"/>
        <v>73408.365709227306</v>
      </c>
      <c r="CQ18" s="113">
        <f t="shared" si="165"/>
        <v>0</v>
      </c>
      <c r="CR18" s="69" t="s">
        <v>8</v>
      </c>
      <c r="CS18" s="25" t="s">
        <v>8</v>
      </c>
      <c r="CT18" s="30">
        <f t="shared" si="166"/>
        <v>0.77864298748613359</v>
      </c>
      <c r="CU18" s="28">
        <f t="shared" si="167"/>
        <v>1.2377019765134389E-2</v>
      </c>
      <c r="CV18" s="46">
        <f t="shared" si="168"/>
        <v>73408.365709227306</v>
      </c>
      <c r="CW18" s="113">
        <f t="shared" si="169"/>
        <v>0</v>
      </c>
      <c r="CX18" s="69" t="s">
        <v>8</v>
      </c>
      <c r="CY18" s="25" t="s">
        <v>8</v>
      </c>
      <c r="CZ18" s="30">
        <f t="shared" si="170"/>
        <v>0.77864298748613359</v>
      </c>
      <c r="DA18" s="28">
        <f t="shared" si="171"/>
        <v>1.2377019765134389E-2</v>
      </c>
      <c r="DB18" s="46">
        <f t="shared" si="172"/>
        <v>73408.365709227306</v>
      </c>
      <c r="DC18" s="113">
        <f t="shared" si="173"/>
        <v>0</v>
      </c>
      <c r="DD18" s="69" t="s">
        <v>8</v>
      </c>
      <c r="DE18" s="25" t="s">
        <v>8</v>
      </c>
      <c r="DF18" s="30">
        <f t="shared" si="174"/>
        <v>0.77864298748613359</v>
      </c>
      <c r="DG18" s="28">
        <f t="shared" si="175"/>
        <v>1.2377019765134389E-2</v>
      </c>
      <c r="DH18" s="46">
        <f t="shared" si="176"/>
        <v>73408.365709227306</v>
      </c>
      <c r="DI18" s="113">
        <f t="shared" si="177"/>
        <v>0</v>
      </c>
      <c r="DJ18" s="69" t="s">
        <v>8</v>
      </c>
      <c r="DK18" s="25" t="s">
        <v>8</v>
      </c>
      <c r="DL18" s="30">
        <f t="shared" si="178"/>
        <v>0.77864298748613359</v>
      </c>
      <c r="DM18" s="28">
        <f t="shared" si="179"/>
        <v>1.2377019765134389E-2</v>
      </c>
      <c r="DN18" s="46">
        <f t="shared" si="180"/>
        <v>73408.365709227306</v>
      </c>
      <c r="DO18" s="113">
        <f t="shared" si="181"/>
        <v>0</v>
      </c>
      <c r="DP18" s="69" t="s">
        <v>8</v>
      </c>
      <c r="DQ18" s="25" t="s">
        <v>8</v>
      </c>
      <c r="DR18" s="30">
        <f t="shared" si="182"/>
        <v>0.77864298748613359</v>
      </c>
      <c r="DS18" s="28">
        <f t="shared" si="183"/>
        <v>1.2377019765134389E-2</v>
      </c>
      <c r="DT18" s="46">
        <f t="shared" si="184"/>
        <v>73408.365709227306</v>
      </c>
      <c r="DU18" s="113">
        <f t="shared" si="185"/>
        <v>0</v>
      </c>
      <c r="DV18" s="69" t="s">
        <v>8</v>
      </c>
      <c r="DW18" s="25" t="s">
        <v>8</v>
      </c>
      <c r="DX18" s="30">
        <f t="shared" si="186"/>
        <v>0.77864298748613359</v>
      </c>
      <c r="DY18" s="28">
        <f t="shared" si="187"/>
        <v>1.2377019765134389E-2</v>
      </c>
      <c r="DZ18" s="29">
        <f t="shared" si="188"/>
        <v>73408.365709227306</v>
      </c>
      <c r="EA18" s="73">
        <f t="shared" si="189"/>
        <v>0</v>
      </c>
      <c r="EB18" s="69" t="s">
        <v>8</v>
      </c>
      <c r="EC18" s="25" t="s">
        <v>8</v>
      </c>
      <c r="ED18" s="30">
        <f t="shared" si="190"/>
        <v>0.77864298748613359</v>
      </c>
      <c r="EE18" s="28">
        <f t="shared" si="191"/>
        <v>1.2377019765134389E-2</v>
      </c>
      <c r="EF18" s="29">
        <f t="shared" si="192"/>
        <v>73408.365709227306</v>
      </c>
      <c r="EG18" s="73">
        <f t="shared" si="193"/>
        <v>0</v>
      </c>
      <c r="EH18" s="69" t="s">
        <v>8</v>
      </c>
      <c r="EI18" s="25" t="s">
        <v>8</v>
      </c>
      <c r="EJ18" s="30">
        <f t="shared" si="194"/>
        <v>0.77864298748613359</v>
      </c>
      <c r="EK18" s="28">
        <f t="shared" si="195"/>
        <v>1.2377019765134389E-2</v>
      </c>
      <c r="EL18" s="29">
        <f t="shared" si="196"/>
        <v>73408.365709227306</v>
      </c>
      <c r="EM18" s="73">
        <f t="shared" si="197"/>
        <v>0</v>
      </c>
      <c r="EN18" s="69" t="s">
        <v>8</v>
      </c>
      <c r="EO18" s="25" t="s">
        <v>8</v>
      </c>
      <c r="EP18" s="30">
        <f t="shared" si="198"/>
        <v>0.77864298748613359</v>
      </c>
      <c r="EQ18" s="28">
        <f t="shared" si="199"/>
        <v>1.2377019765134389E-2</v>
      </c>
      <c r="ER18" s="29">
        <f t="shared" si="200"/>
        <v>73408.365709227306</v>
      </c>
      <c r="ES18" s="73">
        <f t="shared" si="201"/>
        <v>0</v>
      </c>
      <c r="ET18" s="69" t="s">
        <v>8</v>
      </c>
      <c r="EU18" s="25" t="s">
        <v>8</v>
      </c>
      <c r="EV18" s="30">
        <f t="shared" si="202"/>
        <v>0.77864298748613359</v>
      </c>
      <c r="EW18" s="28">
        <f t="shared" si="203"/>
        <v>1.2377019765134389E-2</v>
      </c>
      <c r="EX18" s="29">
        <f t="shared" si="204"/>
        <v>73408.365709227306</v>
      </c>
      <c r="EY18" s="73">
        <f t="shared" si="205"/>
        <v>0</v>
      </c>
      <c r="EZ18" s="69" t="s">
        <v>8</v>
      </c>
      <c r="FA18" s="25" t="s">
        <v>8</v>
      </c>
      <c r="FB18" s="30">
        <f t="shared" si="206"/>
        <v>0.77864298748613359</v>
      </c>
      <c r="FC18" s="28">
        <f t="shared" si="207"/>
        <v>1.2377019765134389E-2</v>
      </c>
      <c r="FD18" s="29">
        <f t="shared" si="208"/>
        <v>73408.365709227306</v>
      </c>
      <c r="FE18" s="73">
        <f t="shared" si="209"/>
        <v>0</v>
      </c>
      <c r="FF18" s="69" t="s">
        <v>8</v>
      </c>
      <c r="FG18" s="25" t="s">
        <v>8</v>
      </c>
      <c r="FH18" s="30">
        <f t="shared" si="210"/>
        <v>0.77864298748613359</v>
      </c>
      <c r="FI18" s="28">
        <f t="shared" si="211"/>
        <v>1.2377019765134389E-2</v>
      </c>
      <c r="FJ18" s="29">
        <f t="shared" si="212"/>
        <v>73408.365709227306</v>
      </c>
      <c r="FK18" s="73">
        <f t="shared" si="213"/>
        <v>0</v>
      </c>
      <c r="FL18" s="69" t="s">
        <v>8</v>
      </c>
      <c r="FM18" s="25" t="s">
        <v>8</v>
      </c>
      <c r="FN18" s="30">
        <f t="shared" si="214"/>
        <v>0.77864298748613359</v>
      </c>
      <c r="FO18" s="28">
        <f t="shared" si="215"/>
        <v>1.2377019765134389E-2</v>
      </c>
      <c r="FP18" s="29">
        <f t="shared" si="216"/>
        <v>73408.365709227306</v>
      </c>
      <c r="FQ18" s="73">
        <f t="shared" si="217"/>
        <v>0</v>
      </c>
      <c r="FR18" s="69" t="s">
        <v>8</v>
      </c>
      <c r="FS18" s="25" t="s">
        <v>8</v>
      </c>
      <c r="FT18" s="30">
        <f t="shared" si="218"/>
        <v>0.77864298748613359</v>
      </c>
      <c r="FU18" s="28">
        <f t="shared" si="219"/>
        <v>1.2377019765134389E-2</v>
      </c>
      <c r="FV18" s="29">
        <f t="shared" si="220"/>
        <v>73408.365709227306</v>
      </c>
      <c r="FW18" s="73">
        <f t="shared" si="221"/>
        <v>0</v>
      </c>
      <c r="FX18" s="69" t="s">
        <v>8</v>
      </c>
      <c r="FY18" s="25" t="s">
        <v>8</v>
      </c>
      <c r="FZ18" s="30">
        <f t="shared" si="222"/>
        <v>0.77864298748613359</v>
      </c>
      <c r="GA18" s="28">
        <f t="shared" si="223"/>
        <v>1.2377019765134389E-2</v>
      </c>
      <c r="GB18" s="29">
        <f t="shared" si="224"/>
        <v>73408.365709227306</v>
      </c>
      <c r="GC18" s="73">
        <f t="shared" si="225"/>
        <v>0</v>
      </c>
      <c r="GD18" s="69" t="s">
        <v>8</v>
      </c>
      <c r="GE18" s="25" t="s">
        <v>8</v>
      </c>
      <c r="GF18" s="30">
        <f t="shared" si="226"/>
        <v>0.77864298748613359</v>
      </c>
      <c r="GG18" s="28">
        <f t="shared" si="227"/>
        <v>1.2377019765134389E-2</v>
      </c>
      <c r="GH18" s="29">
        <f t="shared" si="228"/>
        <v>73408.365709227306</v>
      </c>
      <c r="GI18" s="113">
        <f t="shared" si="229"/>
        <v>0</v>
      </c>
      <c r="GJ18" s="69" t="s">
        <v>8</v>
      </c>
      <c r="GK18" s="25" t="s">
        <v>8</v>
      </c>
      <c r="GL18" s="30">
        <f t="shared" si="230"/>
        <v>0.77864298748613359</v>
      </c>
      <c r="GM18" s="28">
        <f t="shared" si="231"/>
        <v>1.2377019765134389E-2</v>
      </c>
      <c r="GN18" s="29">
        <f t="shared" si="232"/>
        <v>73408.365709227306</v>
      </c>
      <c r="GO18" s="113">
        <f t="shared" si="233"/>
        <v>0</v>
      </c>
      <c r="GP18" s="215">
        <f t="shared" si="234"/>
        <v>1583628.3011895465</v>
      </c>
      <c r="GQ18" s="238">
        <f t="shared" si="235"/>
        <v>1622356.05578827</v>
      </c>
      <c r="GR18" s="196">
        <f t="shared" si="236"/>
        <v>0.77864298748613359</v>
      </c>
      <c r="GS18" s="242">
        <v>1622356.06</v>
      </c>
    </row>
    <row r="19" spans="1:201" s="20" customFormat="1" ht="31.5" x14ac:dyDescent="0.25">
      <c r="A19" s="159" t="s">
        <v>182</v>
      </c>
      <c r="B19" s="130" t="s">
        <v>8</v>
      </c>
      <c r="C19" s="130" t="s">
        <v>8</v>
      </c>
      <c r="D19" s="130" t="s">
        <v>8</v>
      </c>
      <c r="E19" s="130" t="s">
        <v>8</v>
      </c>
      <c r="F19" s="130" t="s">
        <v>8</v>
      </c>
      <c r="G19" s="95">
        <f>'Исходные данные'!C21</f>
        <v>780</v>
      </c>
      <c r="H19" s="26">
        <f>'Исходные данные'!D21</f>
        <v>729180</v>
      </c>
      <c r="I19" s="27">
        <f>'Расчет КРП'!G17</f>
        <v>3.3925157462083706</v>
      </c>
      <c r="J19" s="102" t="s">
        <v>8</v>
      </c>
      <c r="K19" s="106">
        <f t="shared" si="109"/>
        <v>0.16448567248160198</v>
      </c>
      <c r="L19" s="70">
        <f t="shared" si="237"/>
        <v>86803.587893690477</v>
      </c>
      <c r="M19" s="66">
        <f t="shared" si="110"/>
        <v>0.18406649824274401</v>
      </c>
      <c r="N19" s="25" t="s">
        <v>8</v>
      </c>
      <c r="O19" s="28">
        <f t="shared" si="111"/>
        <v>9.0540719779355905E-2</v>
      </c>
      <c r="P19" s="29">
        <f t="shared" si="112"/>
        <v>428037.93616039067</v>
      </c>
      <c r="Q19" s="73">
        <f t="shared" si="113"/>
        <v>428037.93616039067</v>
      </c>
      <c r="R19" s="135" t="s">
        <v>8</v>
      </c>
      <c r="S19" s="25" t="s">
        <v>8</v>
      </c>
      <c r="T19" s="30">
        <f t="shared" si="114"/>
        <v>0.28062168047069713</v>
      </c>
      <c r="U19" s="28">
        <f t="shared" si="115"/>
        <v>6.9810061006399415E-2</v>
      </c>
      <c r="V19" s="46">
        <f t="shared" si="116"/>
        <v>377724.30876068235</v>
      </c>
      <c r="W19" s="73">
        <f t="shared" si="117"/>
        <v>377724.30876068235</v>
      </c>
      <c r="X19" s="69" t="s">
        <v>8</v>
      </c>
      <c r="Y19" s="25" t="s">
        <v>8</v>
      </c>
      <c r="Z19" s="30">
        <f t="shared" si="118"/>
        <v>0.36582730451297629</v>
      </c>
      <c r="AA19" s="28">
        <f t="shared" si="119"/>
        <v>4.903955984098135E-2</v>
      </c>
      <c r="AB19" s="46">
        <f t="shared" si="120"/>
        <v>293629.14588644734</v>
      </c>
      <c r="AC19" s="73">
        <f t="shared" si="121"/>
        <v>293629.14588644734</v>
      </c>
      <c r="AD19" s="69" t="s">
        <v>8</v>
      </c>
      <c r="AE19" s="25" t="s">
        <v>8</v>
      </c>
      <c r="AF19" s="30">
        <f t="shared" si="122"/>
        <v>0.4320630590884319</v>
      </c>
      <c r="AG19" s="28">
        <f t="shared" si="123"/>
        <v>3.9603548891164075E-2</v>
      </c>
      <c r="AH19" s="46">
        <f t="shared" si="124"/>
        <v>257511.89637460513</v>
      </c>
      <c r="AI19" s="73">
        <f t="shared" si="125"/>
        <v>257511.89637460513</v>
      </c>
      <c r="AJ19" s="69" t="s">
        <v>8</v>
      </c>
      <c r="AK19" s="25" t="s">
        <v>8</v>
      </c>
      <c r="AL19" s="30">
        <f t="shared" si="126"/>
        <v>0.49015162082516295</v>
      </c>
      <c r="AM19" s="28">
        <f t="shared" si="127"/>
        <v>3.3671406347493771E-2</v>
      </c>
      <c r="AN19" s="46">
        <f t="shared" si="128"/>
        <v>234890.97750713976</v>
      </c>
      <c r="AO19" s="73">
        <f t="shared" si="129"/>
        <v>234890.97750713976</v>
      </c>
      <c r="AP19" s="69" t="s">
        <v>8</v>
      </c>
      <c r="AQ19" s="25" t="s">
        <v>8</v>
      </c>
      <c r="AR19" s="30">
        <f t="shared" si="130"/>
        <v>0.54313744105490414</v>
      </c>
      <c r="AS19" s="28">
        <f t="shared" si="131"/>
        <v>2.7522626373132408E-2</v>
      </c>
      <c r="AT19" s="46">
        <f t="shared" si="132"/>
        <v>203697.31706493555</v>
      </c>
      <c r="AU19" s="73">
        <f t="shared" si="133"/>
        <v>203697.31706493555</v>
      </c>
      <c r="AV19" s="69" t="s">
        <v>8</v>
      </c>
      <c r="AW19" s="25" t="s">
        <v>8</v>
      </c>
      <c r="AX19" s="30">
        <f t="shared" si="134"/>
        <v>0.58908671308667138</v>
      </c>
      <c r="AY19" s="28">
        <f t="shared" si="135"/>
        <v>2.2576272475215098E-2</v>
      </c>
      <c r="AZ19" s="46">
        <f t="shared" si="136"/>
        <v>175494.54553689185</v>
      </c>
      <c r="BA19" s="73">
        <f t="shared" si="137"/>
        <v>175494.54553689185</v>
      </c>
      <c r="BB19" s="69" t="s">
        <v>8</v>
      </c>
      <c r="BC19" s="25" t="s">
        <v>8</v>
      </c>
      <c r="BD19" s="30">
        <f t="shared" si="138"/>
        <v>0.62867411035413445</v>
      </c>
      <c r="BE19" s="28">
        <f t="shared" si="139"/>
        <v>2.0819280463484913E-2</v>
      </c>
      <c r="BF19" s="46">
        <f t="shared" si="140"/>
        <v>173805.27267550261</v>
      </c>
      <c r="BG19" s="73">
        <f t="shared" si="141"/>
        <v>173805.27267550261</v>
      </c>
      <c r="BH19" s="69" t="s">
        <v>8</v>
      </c>
      <c r="BI19" s="25" t="s">
        <v>8</v>
      </c>
      <c r="BJ19" s="30">
        <f t="shared" si="142"/>
        <v>0.66788044782482525</v>
      </c>
      <c r="BK19" s="28">
        <f t="shared" si="143"/>
        <v>1.8283226230739746E-2</v>
      </c>
      <c r="BL19" s="46">
        <f t="shared" si="144"/>
        <v>161379.56880857245</v>
      </c>
      <c r="BM19" s="73">
        <f t="shared" si="145"/>
        <v>161379.56880857245</v>
      </c>
      <c r="BN19" s="69" t="s">
        <v>8</v>
      </c>
      <c r="BO19" s="25" t="s">
        <v>8</v>
      </c>
      <c r="BP19" s="30">
        <f t="shared" si="146"/>
        <v>0.70428384191170224</v>
      </c>
      <c r="BQ19" s="28">
        <f t="shared" si="147"/>
        <v>1.6595038396455153E-2</v>
      </c>
      <c r="BR19" s="46">
        <f t="shared" si="148"/>
        <v>155113.79917733892</v>
      </c>
      <c r="BS19" s="113">
        <f t="shared" si="149"/>
        <v>155113.79917733892</v>
      </c>
      <c r="BT19" s="69" t="s">
        <v>8</v>
      </c>
      <c r="BU19" s="25" t="s">
        <v>8</v>
      </c>
      <c r="BV19" s="30">
        <f t="shared" si="150"/>
        <v>0.73927382733212066</v>
      </c>
      <c r="BW19" s="28">
        <f t="shared" si="151"/>
        <v>1.4300380590191564E-2</v>
      </c>
      <c r="BX19" s="46">
        <f t="shared" si="152"/>
        <v>139719.49629017775</v>
      </c>
      <c r="BY19" s="113">
        <f t="shared" si="153"/>
        <v>139719.49629017775</v>
      </c>
      <c r="BZ19" s="69" t="s">
        <v>8</v>
      </c>
      <c r="CA19" s="25" t="s">
        <v>8</v>
      </c>
      <c r="CB19" s="30">
        <f t="shared" si="154"/>
        <v>0.77079122400520617</v>
      </c>
      <c r="CC19" s="28">
        <f t="shared" si="155"/>
        <v>1.2955838371370154E-2</v>
      </c>
      <c r="CD19" s="46">
        <f t="shared" si="156"/>
        <v>132592.97813093028</v>
      </c>
      <c r="CE19" s="113">
        <f t="shared" si="157"/>
        <v>34769.062459746958</v>
      </c>
      <c r="CF19" s="69" t="s">
        <v>8</v>
      </c>
      <c r="CG19" s="25" t="s">
        <v>8</v>
      </c>
      <c r="CH19" s="30">
        <f t="shared" si="158"/>
        <v>0.7786342978967643</v>
      </c>
      <c r="CI19" s="28">
        <f t="shared" si="159"/>
        <v>1.2385709354503671E-2</v>
      </c>
      <c r="CJ19" s="46">
        <f t="shared" si="160"/>
        <v>127854.48280906511</v>
      </c>
      <c r="CK19" s="113">
        <f t="shared" si="161"/>
        <v>0</v>
      </c>
      <c r="CL19" s="69" t="s">
        <v>8</v>
      </c>
      <c r="CM19" s="25" t="s">
        <v>8</v>
      </c>
      <c r="CN19" s="30">
        <f t="shared" si="162"/>
        <v>0.7786342978967643</v>
      </c>
      <c r="CO19" s="28">
        <f t="shared" si="163"/>
        <v>1.2385709354503671E-2</v>
      </c>
      <c r="CP19" s="46">
        <f t="shared" si="164"/>
        <v>127854.48280906511</v>
      </c>
      <c r="CQ19" s="113">
        <f t="shared" si="165"/>
        <v>0</v>
      </c>
      <c r="CR19" s="69" t="s">
        <v>8</v>
      </c>
      <c r="CS19" s="25" t="s">
        <v>8</v>
      </c>
      <c r="CT19" s="30">
        <f t="shared" si="166"/>
        <v>0.7786342978967643</v>
      </c>
      <c r="CU19" s="28">
        <f t="shared" si="167"/>
        <v>1.2385709354503671E-2</v>
      </c>
      <c r="CV19" s="46">
        <f t="shared" si="168"/>
        <v>127854.48280906511</v>
      </c>
      <c r="CW19" s="113">
        <f t="shared" si="169"/>
        <v>0</v>
      </c>
      <c r="CX19" s="69" t="s">
        <v>8</v>
      </c>
      <c r="CY19" s="25" t="s">
        <v>8</v>
      </c>
      <c r="CZ19" s="30">
        <f t="shared" si="170"/>
        <v>0.7786342978967643</v>
      </c>
      <c r="DA19" s="28">
        <f t="shared" si="171"/>
        <v>1.2385709354503671E-2</v>
      </c>
      <c r="DB19" s="46">
        <f t="shared" si="172"/>
        <v>127854.48280906511</v>
      </c>
      <c r="DC19" s="113">
        <f t="shared" si="173"/>
        <v>0</v>
      </c>
      <c r="DD19" s="69" t="s">
        <v>8</v>
      </c>
      <c r="DE19" s="25" t="s">
        <v>8</v>
      </c>
      <c r="DF19" s="30">
        <f t="shared" si="174"/>
        <v>0.7786342978967643</v>
      </c>
      <c r="DG19" s="28">
        <f t="shared" si="175"/>
        <v>1.2385709354503671E-2</v>
      </c>
      <c r="DH19" s="46">
        <f t="shared" si="176"/>
        <v>127854.48280906511</v>
      </c>
      <c r="DI19" s="113">
        <f t="shared" si="177"/>
        <v>0</v>
      </c>
      <c r="DJ19" s="69" t="s">
        <v>8</v>
      </c>
      <c r="DK19" s="25" t="s">
        <v>8</v>
      </c>
      <c r="DL19" s="30">
        <f t="shared" si="178"/>
        <v>0.7786342978967643</v>
      </c>
      <c r="DM19" s="28">
        <f t="shared" si="179"/>
        <v>1.2385709354503671E-2</v>
      </c>
      <c r="DN19" s="46">
        <f t="shared" si="180"/>
        <v>127854.48280906511</v>
      </c>
      <c r="DO19" s="113">
        <f t="shared" si="181"/>
        <v>0</v>
      </c>
      <c r="DP19" s="69" t="s">
        <v>8</v>
      </c>
      <c r="DQ19" s="25" t="s">
        <v>8</v>
      </c>
      <c r="DR19" s="30">
        <f t="shared" si="182"/>
        <v>0.7786342978967643</v>
      </c>
      <c r="DS19" s="28">
        <f t="shared" si="183"/>
        <v>1.2385709354503671E-2</v>
      </c>
      <c r="DT19" s="46">
        <f t="shared" si="184"/>
        <v>127854.48280906511</v>
      </c>
      <c r="DU19" s="113">
        <f t="shared" si="185"/>
        <v>0</v>
      </c>
      <c r="DV19" s="69" t="s">
        <v>8</v>
      </c>
      <c r="DW19" s="25" t="s">
        <v>8</v>
      </c>
      <c r="DX19" s="30">
        <f t="shared" si="186"/>
        <v>0.7786342978967643</v>
      </c>
      <c r="DY19" s="28">
        <f t="shared" si="187"/>
        <v>1.2385709354503671E-2</v>
      </c>
      <c r="DZ19" s="29">
        <f t="shared" si="188"/>
        <v>127854.48280906511</v>
      </c>
      <c r="EA19" s="73">
        <f t="shared" si="189"/>
        <v>0</v>
      </c>
      <c r="EB19" s="69" t="s">
        <v>8</v>
      </c>
      <c r="EC19" s="25" t="s">
        <v>8</v>
      </c>
      <c r="ED19" s="30">
        <f t="shared" si="190"/>
        <v>0.7786342978967643</v>
      </c>
      <c r="EE19" s="28">
        <f t="shared" si="191"/>
        <v>1.2385709354503671E-2</v>
      </c>
      <c r="EF19" s="29">
        <f t="shared" si="192"/>
        <v>127854.48280906511</v>
      </c>
      <c r="EG19" s="73">
        <f t="shared" si="193"/>
        <v>0</v>
      </c>
      <c r="EH19" s="69" t="s">
        <v>8</v>
      </c>
      <c r="EI19" s="25" t="s">
        <v>8</v>
      </c>
      <c r="EJ19" s="30">
        <f t="shared" si="194"/>
        <v>0.7786342978967643</v>
      </c>
      <c r="EK19" s="28">
        <f t="shared" si="195"/>
        <v>1.2385709354503671E-2</v>
      </c>
      <c r="EL19" s="29">
        <f t="shared" si="196"/>
        <v>127854.48280906511</v>
      </c>
      <c r="EM19" s="73">
        <f t="shared" si="197"/>
        <v>0</v>
      </c>
      <c r="EN19" s="69" t="s">
        <v>8</v>
      </c>
      <c r="EO19" s="25" t="s">
        <v>8</v>
      </c>
      <c r="EP19" s="30">
        <f t="shared" si="198"/>
        <v>0.7786342978967643</v>
      </c>
      <c r="EQ19" s="28">
        <f t="shared" si="199"/>
        <v>1.2385709354503671E-2</v>
      </c>
      <c r="ER19" s="29">
        <f t="shared" si="200"/>
        <v>127854.48280906511</v>
      </c>
      <c r="ES19" s="73">
        <f t="shared" si="201"/>
        <v>0</v>
      </c>
      <c r="ET19" s="69" t="s">
        <v>8</v>
      </c>
      <c r="EU19" s="25" t="s">
        <v>8</v>
      </c>
      <c r="EV19" s="30">
        <f t="shared" si="202"/>
        <v>0.7786342978967643</v>
      </c>
      <c r="EW19" s="28">
        <f t="shared" si="203"/>
        <v>1.2385709354503671E-2</v>
      </c>
      <c r="EX19" s="29">
        <f t="shared" si="204"/>
        <v>127854.48280906511</v>
      </c>
      <c r="EY19" s="73">
        <f t="shared" si="205"/>
        <v>0</v>
      </c>
      <c r="EZ19" s="69" t="s">
        <v>8</v>
      </c>
      <c r="FA19" s="25" t="s">
        <v>8</v>
      </c>
      <c r="FB19" s="30">
        <f t="shared" si="206"/>
        <v>0.7786342978967643</v>
      </c>
      <c r="FC19" s="28">
        <f t="shared" si="207"/>
        <v>1.2385709354503671E-2</v>
      </c>
      <c r="FD19" s="29">
        <f t="shared" si="208"/>
        <v>127854.48280906511</v>
      </c>
      <c r="FE19" s="73">
        <f t="shared" si="209"/>
        <v>0</v>
      </c>
      <c r="FF19" s="69" t="s">
        <v>8</v>
      </c>
      <c r="FG19" s="25" t="s">
        <v>8</v>
      </c>
      <c r="FH19" s="30">
        <f t="shared" si="210"/>
        <v>0.7786342978967643</v>
      </c>
      <c r="FI19" s="28">
        <f t="shared" si="211"/>
        <v>1.2385709354503671E-2</v>
      </c>
      <c r="FJ19" s="29">
        <f t="shared" si="212"/>
        <v>127854.48280906511</v>
      </c>
      <c r="FK19" s="73">
        <f t="shared" si="213"/>
        <v>0</v>
      </c>
      <c r="FL19" s="69" t="s">
        <v>8</v>
      </c>
      <c r="FM19" s="25" t="s">
        <v>8</v>
      </c>
      <c r="FN19" s="30">
        <f t="shared" si="214"/>
        <v>0.7786342978967643</v>
      </c>
      <c r="FO19" s="28">
        <f t="shared" si="215"/>
        <v>1.2385709354503671E-2</v>
      </c>
      <c r="FP19" s="29">
        <f t="shared" si="216"/>
        <v>127854.48280906511</v>
      </c>
      <c r="FQ19" s="73">
        <f t="shared" si="217"/>
        <v>0</v>
      </c>
      <c r="FR19" s="69" t="s">
        <v>8</v>
      </c>
      <c r="FS19" s="25" t="s">
        <v>8</v>
      </c>
      <c r="FT19" s="30">
        <f t="shared" si="218"/>
        <v>0.7786342978967643</v>
      </c>
      <c r="FU19" s="28">
        <f t="shared" si="219"/>
        <v>1.2385709354503671E-2</v>
      </c>
      <c r="FV19" s="29">
        <f t="shared" si="220"/>
        <v>127854.48280906511</v>
      </c>
      <c r="FW19" s="73">
        <f t="shared" si="221"/>
        <v>0</v>
      </c>
      <c r="FX19" s="69" t="s">
        <v>8</v>
      </c>
      <c r="FY19" s="25" t="s">
        <v>8</v>
      </c>
      <c r="FZ19" s="30">
        <f t="shared" si="222"/>
        <v>0.7786342978967643</v>
      </c>
      <c r="GA19" s="28">
        <f t="shared" si="223"/>
        <v>1.2385709354503671E-2</v>
      </c>
      <c r="GB19" s="29">
        <f t="shared" si="224"/>
        <v>127854.48280906511</v>
      </c>
      <c r="GC19" s="73">
        <f t="shared" si="225"/>
        <v>0</v>
      </c>
      <c r="GD19" s="69" t="s">
        <v>8</v>
      </c>
      <c r="GE19" s="25" t="s">
        <v>8</v>
      </c>
      <c r="GF19" s="30">
        <f t="shared" si="226"/>
        <v>0.7786342978967643</v>
      </c>
      <c r="GG19" s="28">
        <f t="shared" si="227"/>
        <v>1.2385709354503671E-2</v>
      </c>
      <c r="GH19" s="29">
        <f t="shared" si="228"/>
        <v>127854.48280906511</v>
      </c>
      <c r="GI19" s="113">
        <f t="shared" si="229"/>
        <v>0</v>
      </c>
      <c r="GJ19" s="69" t="s">
        <v>8</v>
      </c>
      <c r="GK19" s="25" t="s">
        <v>8</v>
      </c>
      <c r="GL19" s="30">
        <f t="shared" si="230"/>
        <v>0.7786342978967643</v>
      </c>
      <c r="GM19" s="28">
        <f t="shared" si="231"/>
        <v>1.2385709354503671E-2</v>
      </c>
      <c r="GN19" s="29">
        <f t="shared" si="232"/>
        <v>127854.48280906511</v>
      </c>
      <c r="GO19" s="113">
        <f t="shared" si="233"/>
        <v>0</v>
      </c>
      <c r="GP19" s="215">
        <f t="shared" si="234"/>
        <v>2635773.3267024308</v>
      </c>
      <c r="GQ19" s="238">
        <f t="shared" si="235"/>
        <v>2722576.9145961213</v>
      </c>
      <c r="GR19" s="196">
        <f t="shared" si="236"/>
        <v>0.7786342978967643</v>
      </c>
      <c r="GS19" s="242">
        <v>2722576.92</v>
      </c>
    </row>
    <row r="20" spans="1:201" s="20" customFormat="1" ht="15.75" customHeight="1" x14ac:dyDescent="0.25">
      <c r="A20" s="159" t="s">
        <v>183</v>
      </c>
      <c r="B20" s="130" t="s">
        <v>8</v>
      </c>
      <c r="C20" s="130" t="s">
        <v>8</v>
      </c>
      <c r="D20" s="130" t="s">
        <v>8</v>
      </c>
      <c r="E20" s="130" t="s">
        <v>8</v>
      </c>
      <c r="F20" s="130" t="s">
        <v>8</v>
      </c>
      <c r="G20" s="95">
        <f>'Исходные данные'!C22</f>
        <v>1048</v>
      </c>
      <c r="H20" s="26">
        <f>'Исходные данные'!D22</f>
        <v>338586</v>
      </c>
      <c r="I20" s="27">
        <f>'Расчет КРП'!G18</f>
        <v>2.6020947934198229</v>
      </c>
      <c r="J20" s="102" t="s">
        <v>8</v>
      </c>
      <c r="K20" s="106">
        <f t="shared" si="109"/>
        <v>7.4113001417129884E-2</v>
      </c>
      <c r="L20" s="70">
        <f t="shared" si="237"/>
        <v>116628.41040075336</v>
      </c>
      <c r="M20" s="66">
        <f t="shared" si="110"/>
        <v>9.9641763815187231E-2</v>
      </c>
      <c r="N20" s="25" t="s">
        <v>8</v>
      </c>
      <c r="O20" s="28">
        <f t="shared" si="111"/>
        <v>0.17496545420691267</v>
      </c>
      <c r="P20" s="29">
        <f t="shared" si="112"/>
        <v>852429.65279502561</v>
      </c>
      <c r="Q20" s="73">
        <f t="shared" si="113"/>
        <v>852429.65279502561</v>
      </c>
      <c r="R20" s="135" t="s">
        <v>8</v>
      </c>
      <c r="S20" s="25" t="s">
        <v>8</v>
      </c>
      <c r="T20" s="30">
        <f t="shared" si="114"/>
        <v>0.28622986865591094</v>
      </c>
      <c r="U20" s="28">
        <f t="shared" si="115"/>
        <v>6.4201872821185613E-2</v>
      </c>
      <c r="V20" s="46">
        <f>IF(U20&gt;0,$G20*$I20*(($H$26+$L$26+$Q$26)/$G$26)*U20,0)</f>
        <v>357991.35250641458</v>
      </c>
      <c r="W20" s="73">
        <f t="shared" si="117"/>
        <v>357991.35250641458</v>
      </c>
      <c r="X20" s="69" t="s">
        <v>8</v>
      </c>
      <c r="Y20" s="25" t="s">
        <v>8</v>
      </c>
      <c r="Z20" s="30">
        <f t="shared" si="118"/>
        <v>0.36459050263259085</v>
      </c>
      <c r="AA20" s="28">
        <f t="shared" si="119"/>
        <v>5.0276361721366791E-2</v>
      </c>
      <c r="AB20" s="46">
        <f t="shared" si="120"/>
        <v>310230.40663917933</v>
      </c>
      <c r="AC20" s="73">
        <f t="shared" si="121"/>
        <v>310230.40663917933</v>
      </c>
      <c r="AD20" s="69" t="s">
        <v>8</v>
      </c>
      <c r="AE20" s="25" t="s">
        <v>8</v>
      </c>
      <c r="AF20" s="30">
        <f t="shared" si="122"/>
        <v>0.43249675559900486</v>
      </c>
      <c r="AG20" s="28">
        <f t="shared" si="123"/>
        <v>3.9169852380591119E-2</v>
      </c>
      <c r="AH20" s="46">
        <f t="shared" si="124"/>
        <v>262472.04109416576</v>
      </c>
      <c r="AI20" s="73">
        <f t="shared" si="125"/>
        <v>262472.04109416576</v>
      </c>
      <c r="AJ20" s="69" t="s">
        <v>8</v>
      </c>
      <c r="AK20" s="25" t="s">
        <v>8</v>
      </c>
      <c r="AL20" s="30">
        <f t="shared" si="126"/>
        <v>0.48994919236121265</v>
      </c>
      <c r="AM20" s="28">
        <f t="shared" si="127"/>
        <v>3.387383481144407E-2</v>
      </c>
      <c r="AN20" s="46">
        <f t="shared" si="128"/>
        <v>243521.53144684719</v>
      </c>
      <c r="AO20" s="73">
        <f t="shared" si="129"/>
        <v>243521.53144684719</v>
      </c>
      <c r="AP20" s="69" t="s">
        <v>8</v>
      </c>
      <c r="AQ20" s="25" t="s">
        <v>8</v>
      </c>
      <c r="AR20" s="30">
        <f t="shared" si="130"/>
        <v>0.5432535569989172</v>
      </c>
      <c r="AS20" s="28">
        <f t="shared" si="131"/>
        <v>2.7406510429119346E-2</v>
      </c>
      <c r="AT20" s="46">
        <f t="shared" si="132"/>
        <v>209034.08024408866</v>
      </c>
      <c r="AU20" s="73">
        <f t="shared" si="133"/>
        <v>209034.08024408866</v>
      </c>
      <c r="AV20" s="69" t="s">
        <v>8</v>
      </c>
      <c r="AW20" s="25" t="s">
        <v>8</v>
      </c>
      <c r="AX20" s="30">
        <f t="shared" si="134"/>
        <v>0.58900897241880634</v>
      </c>
      <c r="AY20" s="28">
        <f t="shared" si="135"/>
        <v>2.2654013143080132E-2</v>
      </c>
      <c r="AZ20" s="46">
        <f t="shared" si="136"/>
        <v>181478.19648705705</v>
      </c>
      <c r="BA20" s="73">
        <f t="shared" si="137"/>
        <v>181478.19648705705</v>
      </c>
      <c r="BB20" s="69" t="s">
        <v>8</v>
      </c>
      <c r="BC20" s="25" t="s">
        <v>8</v>
      </c>
      <c r="BD20" s="30">
        <f t="shared" si="138"/>
        <v>0.62873268761501477</v>
      </c>
      <c r="BE20" s="28">
        <f t="shared" si="139"/>
        <v>2.0760703202604591E-2</v>
      </c>
      <c r="BF20" s="46">
        <f t="shared" si="140"/>
        <v>178610.59324285039</v>
      </c>
      <c r="BG20" s="73">
        <f t="shared" si="141"/>
        <v>178610.59324285039</v>
      </c>
      <c r="BH20" s="69" t="s">
        <v>8</v>
      </c>
      <c r="BI20" s="25" t="s">
        <v>8</v>
      </c>
      <c r="BJ20" s="30">
        <f t="shared" si="142"/>
        <v>0.66782871388344223</v>
      </c>
      <c r="BK20" s="28">
        <f t="shared" si="143"/>
        <v>1.8334960172122772E-2</v>
      </c>
      <c r="BL20" s="46">
        <f t="shared" si="144"/>
        <v>166779.86198305653</v>
      </c>
      <c r="BM20" s="73">
        <f t="shared" si="145"/>
        <v>166779.86198305653</v>
      </c>
      <c r="BN20" s="69" t="s">
        <v>8</v>
      </c>
      <c r="BO20" s="25" t="s">
        <v>8</v>
      </c>
      <c r="BP20" s="30">
        <f t="shared" si="146"/>
        <v>0.70433511446556607</v>
      </c>
      <c r="BQ20" s="28">
        <f t="shared" si="147"/>
        <v>1.6543765842591318E-2</v>
      </c>
      <c r="BR20" s="46">
        <f t="shared" si="148"/>
        <v>159358.21980895157</v>
      </c>
      <c r="BS20" s="113">
        <f t="shared" si="149"/>
        <v>159358.21980895157</v>
      </c>
      <c r="BT20" s="69" t="s">
        <v>8</v>
      </c>
      <c r="BU20" s="25" t="s">
        <v>8</v>
      </c>
      <c r="BV20" s="30">
        <f t="shared" si="150"/>
        <v>0.739216993723811</v>
      </c>
      <c r="BW20" s="28">
        <f t="shared" si="151"/>
        <v>1.4357214198501222E-2</v>
      </c>
      <c r="BX20" s="46">
        <f t="shared" si="152"/>
        <v>144559.79267175178</v>
      </c>
      <c r="BY20" s="113">
        <f t="shared" si="153"/>
        <v>144559.79267175178</v>
      </c>
      <c r="BZ20" s="69" t="s">
        <v>8</v>
      </c>
      <c r="CA20" s="25" t="s">
        <v>8</v>
      </c>
      <c r="CB20" s="30">
        <f t="shared" si="154"/>
        <v>0.77085964911754123</v>
      </c>
      <c r="CC20" s="28">
        <f t="shared" si="155"/>
        <v>1.2887413259035085E-2</v>
      </c>
      <c r="CD20" s="46">
        <f t="shared" si="156"/>
        <v>135921.66337005349</v>
      </c>
      <c r="CE20" s="113">
        <f t="shared" si="157"/>
        <v>35641.923652091762</v>
      </c>
      <c r="CF20" s="69" t="s">
        <v>8</v>
      </c>
      <c r="CG20" s="25" t="s">
        <v>8</v>
      </c>
      <c r="CH20" s="30">
        <f t="shared" si="158"/>
        <v>0.77866130050931948</v>
      </c>
      <c r="CI20" s="28">
        <f t="shared" si="159"/>
        <v>1.23587067419485E-2</v>
      </c>
      <c r="CJ20" s="46">
        <f t="shared" si="160"/>
        <v>131472.83377401123</v>
      </c>
      <c r="CK20" s="113">
        <f t="shared" si="161"/>
        <v>0</v>
      </c>
      <c r="CL20" s="69" t="s">
        <v>8</v>
      </c>
      <c r="CM20" s="25" t="s">
        <v>8</v>
      </c>
      <c r="CN20" s="30">
        <f t="shared" si="162"/>
        <v>0.77866130050931948</v>
      </c>
      <c r="CO20" s="28">
        <f t="shared" si="163"/>
        <v>1.23587067419485E-2</v>
      </c>
      <c r="CP20" s="46">
        <f t="shared" si="164"/>
        <v>131472.83377401123</v>
      </c>
      <c r="CQ20" s="113">
        <f t="shared" si="165"/>
        <v>0</v>
      </c>
      <c r="CR20" s="69" t="s">
        <v>8</v>
      </c>
      <c r="CS20" s="25" t="s">
        <v>8</v>
      </c>
      <c r="CT20" s="30">
        <f t="shared" si="166"/>
        <v>0.77866130050931948</v>
      </c>
      <c r="CU20" s="28">
        <f t="shared" si="167"/>
        <v>1.23587067419485E-2</v>
      </c>
      <c r="CV20" s="46">
        <f t="shared" si="168"/>
        <v>131472.83377401123</v>
      </c>
      <c r="CW20" s="113">
        <f t="shared" si="169"/>
        <v>0</v>
      </c>
      <c r="CX20" s="69" t="s">
        <v>8</v>
      </c>
      <c r="CY20" s="25" t="s">
        <v>8</v>
      </c>
      <c r="CZ20" s="30">
        <f t="shared" si="170"/>
        <v>0.77866130050931948</v>
      </c>
      <c r="DA20" s="28">
        <f t="shared" si="171"/>
        <v>1.23587067419485E-2</v>
      </c>
      <c r="DB20" s="46">
        <f t="shared" si="172"/>
        <v>131472.83377401123</v>
      </c>
      <c r="DC20" s="113">
        <f t="shared" si="173"/>
        <v>0</v>
      </c>
      <c r="DD20" s="69" t="s">
        <v>8</v>
      </c>
      <c r="DE20" s="25" t="s">
        <v>8</v>
      </c>
      <c r="DF20" s="30">
        <f t="shared" si="174"/>
        <v>0.77866130050931948</v>
      </c>
      <c r="DG20" s="28">
        <f t="shared" si="175"/>
        <v>1.23587067419485E-2</v>
      </c>
      <c r="DH20" s="46">
        <f t="shared" si="176"/>
        <v>131472.83377401123</v>
      </c>
      <c r="DI20" s="113">
        <f t="shared" si="177"/>
        <v>0</v>
      </c>
      <c r="DJ20" s="69" t="s">
        <v>8</v>
      </c>
      <c r="DK20" s="25" t="s">
        <v>8</v>
      </c>
      <c r="DL20" s="30">
        <f t="shared" si="178"/>
        <v>0.77866130050931948</v>
      </c>
      <c r="DM20" s="28">
        <f t="shared" si="179"/>
        <v>1.23587067419485E-2</v>
      </c>
      <c r="DN20" s="46">
        <f t="shared" si="180"/>
        <v>131472.83377401123</v>
      </c>
      <c r="DO20" s="113">
        <f t="shared" si="181"/>
        <v>0</v>
      </c>
      <c r="DP20" s="69" t="s">
        <v>8</v>
      </c>
      <c r="DQ20" s="25" t="s">
        <v>8</v>
      </c>
      <c r="DR20" s="30">
        <f t="shared" si="182"/>
        <v>0.77866130050931948</v>
      </c>
      <c r="DS20" s="28">
        <f t="shared" si="183"/>
        <v>1.23587067419485E-2</v>
      </c>
      <c r="DT20" s="46">
        <f t="shared" si="184"/>
        <v>131472.83377401123</v>
      </c>
      <c r="DU20" s="113">
        <f t="shared" si="185"/>
        <v>0</v>
      </c>
      <c r="DV20" s="69" t="s">
        <v>8</v>
      </c>
      <c r="DW20" s="25" t="s">
        <v>8</v>
      </c>
      <c r="DX20" s="30">
        <f t="shared" si="186"/>
        <v>0.77866130050931948</v>
      </c>
      <c r="DY20" s="28">
        <f t="shared" si="187"/>
        <v>1.23587067419485E-2</v>
      </c>
      <c r="DZ20" s="29">
        <f t="shared" si="188"/>
        <v>131472.83377401123</v>
      </c>
      <c r="EA20" s="73">
        <f t="shared" si="189"/>
        <v>0</v>
      </c>
      <c r="EB20" s="69" t="s">
        <v>8</v>
      </c>
      <c r="EC20" s="25" t="s">
        <v>8</v>
      </c>
      <c r="ED20" s="30">
        <f t="shared" si="190"/>
        <v>0.77866130050931948</v>
      </c>
      <c r="EE20" s="28">
        <f t="shared" si="191"/>
        <v>1.23587067419485E-2</v>
      </c>
      <c r="EF20" s="29">
        <f t="shared" si="192"/>
        <v>131472.83377401123</v>
      </c>
      <c r="EG20" s="73">
        <f t="shared" si="193"/>
        <v>0</v>
      </c>
      <c r="EH20" s="69" t="s">
        <v>8</v>
      </c>
      <c r="EI20" s="25" t="s">
        <v>8</v>
      </c>
      <c r="EJ20" s="30">
        <f t="shared" si="194"/>
        <v>0.77866130050931948</v>
      </c>
      <c r="EK20" s="28">
        <f t="shared" si="195"/>
        <v>1.23587067419485E-2</v>
      </c>
      <c r="EL20" s="29">
        <f t="shared" si="196"/>
        <v>131472.83377401123</v>
      </c>
      <c r="EM20" s="73">
        <f t="shared" si="197"/>
        <v>0</v>
      </c>
      <c r="EN20" s="69" t="s">
        <v>8</v>
      </c>
      <c r="EO20" s="25" t="s">
        <v>8</v>
      </c>
      <c r="EP20" s="30">
        <f t="shared" si="198"/>
        <v>0.77866130050931948</v>
      </c>
      <c r="EQ20" s="28">
        <f t="shared" si="199"/>
        <v>1.23587067419485E-2</v>
      </c>
      <c r="ER20" s="29">
        <f t="shared" si="200"/>
        <v>131472.83377401123</v>
      </c>
      <c r="ES20" s="73">
        <f t="shared" si="201"/>
        <v>0</v>
      </c>
      <c r="ET20" s="69" t="s">
        <v>8</v>
      </c>
      <c r="EU20" s="25" t="s">
        <v>8</v>
      </c>
      <c r="EV20" s="30">
        <f t="shared" si="202"/>
        <v>0.77866130050931948</v>
      </c>
      <c r="EW20" s="28">
        <f t="shared" si="203"/>
        <v>1.23587067419485E-2</v>
      </c>
      <c r="EX20" s="29">
        <f t="shared" si="204"/>
        <v>131472.83377401123</v>
      </c>
      <c r="EY20" s="73">
        <f t="shared" si="205"/>
        <v>0</v>
      </c>
      <c r="EZ20" s="69" t="s">
        <v>8</v>
      </c>
      <c r="FA20" s="25" t="s">
        <v>8</v>
      </c>
      <c r="FB20" s="30">
        <f t="shared" si="206"/>
        <v>0.77866130050931948</v>
      </c>
      <c r="FC20" s="28">
        <f t="shared" si="207"/>
        <v>1.23587067419485E-2</v>
      </c>
      <c r="FD20" s="29">
        <f t="shared" si="208"/>
        <v>131472.83377401123</v>
      </c>
      <c r="FE20" s="73">
        <f t="shared" si="209"/>
        <v>0</v>
      </c>
      <c r="FF20" s="69" t="s">
        <v>8</v>
      </c>
      <c r="FG20" s="25" t="s">
        <v>8</v>
      </c>
      <c r="FH20" s="30">
        <f t="shared" si="210"/>
        <v>0.77866130050931948</v>
      </c>
      <c r="FI20" s="28">
        <f t="shared" si="211"/>
        <v>1.23587067419485E-2</v>
      </c>
      <c r="FJ20" s="29">
        <f t="shared" si="212"/>
        <v>131472.83377401123</v>
      </c>
      <c r="FK20" s="73">
        <f t="shared" si="213"/>
        <v>0</v>
      </c>
      <c r="FL20" s="69" t="s">
        <v>8</v>
      </c>
      <c r="FM20" s="25" t="s">
        <v>8</v>
      </c>
      <c r="FN20" s="30">
        <f t="shared" si="214"/>
        <v>0.77866130050931948</v>
      </c>
      <c r="FO20" s="28">
        <f t="shared" si="215"/>
        <v>1.23587067419485E-2</v>
      </c>
      <c r="FP20" s="29">
        <f t="shared" si="216"/>
        <v>131472.83377401123</v>
      </c>
      <c r="FQ20" s="73">
        <f t="shared" si="217"/>
        <v>0</v>
      </c>
      <c r="FR20" s="69" t="s">
        <v>8</v>
      </c>
      <c r="FS20" s="25" t="s">
        <v>8</v>
      </c>
      <c r="FT20" s="30">
        <f t="shared" si="218"/>
        <v>0.77866130050931948</v>
      </c>
      <c r="FU20" s="28">
        <f t="shared" si="219"/>
        <v>1.23587067419485E-2</v>
      </c>
      <c r="FV20" s="29">
        <f t="shared" si="220"/>
        <v>131472.83377401123</v>
      </c>
      <c r="FW20" s="73">
        <f t="shared" si="221"/>
        <v>0</v>
      </c>
      <c r="FX20" s="69" t="s">
        <v>8</v>
      </c>
      <c r="FY20" s="25" t="s">
        <v>8</v>
      </c>
      <c r="FZ20" s="30">
        <f t="shared" si="222"/>
        <v>0.77866130050931948</v>
      </c>
      <c r="GA20" s="28">
        <f t="shared" si="223"/>
        <v>1.23587067419485E-2</v>
      </c>
      <c r="GB20" s="29">
        <f t="shared" si="224"/>
        <v>131472.83377401123</v>
      </c>
      <c r="GC20" s="73">
        <f t="shared" si="225"/>
        <v>0</v>
      </c>
      <c r="GD20" s="69" t="s">
        <v>8</v>
      </c>
      <c r="GE20" s="25" t="s">
        <v>8</v>
      </c>
      <c r="GF20" s="30">
        <f t="shared" si="226"/>
        <v>0.77866130050931948</v>
      </c>
      <c r="GG20" s="28">
        <f t="shared" si="227"/>
        <v>1.23587067419485E-2</v>
      </c>
      <c r="GH20" s="29">
        <f t="shared" si="228"/>
        <v>131472.83377401123</v>
      </c>
      <c r="GI20" s="113">
        <f t="shared" si="229"/>
        <v>0</v>
      </c>
      <c r="GJ20" s="69" t="s">
        <v>8</v>
      </c>
      <c r="GK20" s="25" t="s">
        <v>8</v>
      </c>
      <c r="GL20" s="30">
        <f t="shared" si="230"/>
        <v>0.77866130050931948</v>
      </c>
      <c r="GM20" s="28">
        <f t="shared" si="231"/>
        <v>1.23587067419485E-2</v>
      </c>
      <c r="GN20" s="29">
        <f t="shared" si="232"/>
        <v>131472.83377401123</v>
      </c>
      <c r="GO20" s="113">
        <f t="shared" si="233"/>
        <v>0</v>
      </c>
      <c r="GP20" s="215">
        <f t="shared" si="234"/>
        <v>3102107.6525714798</v>
      </c>
      <c r="GQ20" s="238">
        <f t="shared" si="235"/>
        <v>3218736.0629722332</v>
      </c>
      <c r="GR20" s="196">
        <f t="shared" si="236"/>
        <v>0.7786613005093197</v>
      </c>
      <c r="GS20" s="242">
        <v>3218736.06</v>
      </c>
    </row>
    <row r="21" spans="1:201" s="20" customFormat="1" x14ac:dyDescent="0.25">
      <c r="A21" s="159" t="s">
        <v>184</v>
      </c>
      <c r="B21" s="131" t="s">
        <v>8</v>
      </c>
      <c r="C21" s="131" t="s">
        <v>8</v>
      </c>
      <c r="D21" s="131" t="s">
        <v>8</v>
      </c>
      <c r="E21" s="131" t="s">
        <v>8</v>
      </c>
      <c r="F21" s="131" t="s">
        <v>8</v>
      </c>
      <c r="G21" s="116">
        <f>'Исходные данные'!C23</f>
        <v>518</v>
      </c>
      <c r="H21" s="117">
        <f>'Исходные данные'!D23</f>
        <v>487313</v>
      </c>
      <c r="I21" s="118">
        <f>'Расчет КРП'!G19</f>
        <v>3.7412576063272414</v>
      </c>
      <c r="J21" s="119" t="s">
        <v>8</v>
      </c>
      <c r="K21" s="120">
        <f t="shared" si="109"/>
        <v>0.15009645178702585</v>
      </c>
      <c r="L21" s="121">
        <f t="shared" si="237"/>
        <v>57646.485293502141</v>
      </c>
      <c r="M21" s="122">
        <f t="shared" si="110"/>
        <v>0.16785204808867926</v>
      </c>
      <c r="N21" s="123" t="s">
        <v>8</v>
      </c>
      <c r="O21" s="124">
        <f t="shared" si="111"/>
        <v>0.10675516993342066</v>
      </c>
      <c r="P21" s="29">
        <f t="shared" si="112"/>
        <v>369622.27233802207</v>
      </c>
      <c r="Q21" s="125">
        <f t="shared" si="113"/>
        <v>369622.27233802207</v>
      </c>
      <c r="R21" s="136" t="s">
        <v>8</v>
      </c>
      <c r="S21" s="123" t="s">
        <v>8</v>
      </c>
      <c r="T21" s="126">
        <f t="shared" si="114"/>
        <v>0.28169877817672301</v>
      </c>
      <c r="U21" s="124">
        <f t="shared" si="115"/>
        <v>6.873296330037354E-2</v>
      </c>
      <c r="V21" s="46">
        <f t="shared" si="116"/>
        <v>272365.99418942165</v>
      </c>
      <c r="W21" s="125">
        <f t="shared" si="117"/>
        <v>272365.99418942165</v>
      </c>
      <c r="X21" s="115" t="s">
        <v>8</v>
      </c>
      <c r="Y21" s="123" t="s">
        <v>8</v>
      </c>
      <c r="Z21" s="126">
        <f t="shared" si="118"/>
        <v>0.36558976675137195</v>
      </c>
      <c r="AA21" s="124">
        <f t="shared" si="119"/>
        <v>4.9277097602585695E-2</v>
      </c>
      <c r="AB21" s="46">
        <f t="shared" si="120"/>
        <v>216086.98815861638</v>
      </c>
      <c r="AC21" s="125">
        <f t="shared" si="121"/>
        <v>216086.98815861638</v>
      </c>
      <c r="AD21" s="115" t="s">
        <v>8</v>
      </c>
      <c r="AE21" s="123" t="s">
        <v>8</v>
      </c>
      <c r="AF21" s="126">
        <f t="shared" si="122"/>
        <v>0.43214635399602452</v>
      </c>
      <c r="AG21" s="124">
        <f t="shared" si="123"/>
        <v>3.9520253983571452E-2</v>
      </c>
      <c r="AH21" s="46">
        <f t="shared" si="124"/>
        <v>188197.48565020502</v>
      </c>
      <c r="AI21" s="125">
        <f t="shared" si="125"/>
        <v>188197.48565020502</v>
      </c>
      <c r="AJ21" s="115" t="s">
        <v>8</v>
      </c>
      <c r="AK21" s="123" t="s">
        <v>8</v>
      </c>
      <c r="AL21" s="126">
        <f t="shared" si="126"/>
        <v>0.49011274280842132</v>
      </c>
      <c r="AM21" s="124">
        <f t="shared" si="127"/>
        <v>3.3710284364235399E-2</v>
      </c>
      <c r="AN21" s="46">
        <f t="shared" si="128"/>
        <v>172225.87234468412</v>
      </c>
      <c r="AO21" s="125">
        <f t="shared" si="129"/>
        <v>172225.87234468412</v>
      </c>
      <c r="AP21" s="115" t="s">
        <v>8</v>
      </c>
      <c r="AQ21" s="123" t="s">
        <v>8</v>
      </c>
      <c r="AR21" s="126">
        <f t="shared" si="130"/>
        <v>0.54315974205708151</v>
      </c>
      <c r="AS21" s="124">
        <f t="shared" si="131"/>
        <v>2.7500325370955037E-2</v>
      </c>
      <c r="AT21" s="46">
        <f t="shared" si="132"/>
        <v>149061.04596316325</v>
      </c>
      <c r="AU21" s="125">
        <f t="shared" si="133"/>
        <v>149061.04596316325</v>
      </c>
      <c r="AV21" s="115" t="s">
        <v>8</v>
      </c>
      <c r="AW21" s="123" t="s">
        <v>8</v>
      </c>
      <c r="AX21" s="126">
        <f t="shared" si="134"/>
        <v>0.5890717823653302</v>
      </c>
      <c r="AY21" s="124">
        <f t="shared" si="135"/>
        <v>2.2591203196556275E-2</v>
      </c>
      <c r="AZ21" s="46">
        <f t="shared" si="136"/>
        <v>128612.04522156912</v>
      </c>
      <c r="BA21" s="125">
        <f t="shared" si="137"/>
        <v>128612.04522156912</v>
      </c>
      <c r="BB21" s="115" t="s">
        <v>8</v>
      </c>
      <c r="BC21" s="123" t="s">
        <v>8</v>
      </c>
      <c r="BD21" s="126">
        <f t="shared" si="138"/>
        <v>0.62868536058883351</v>
      </c>
      <c r="BE21" s="124">
        <f t="shared" si="139"/>
        <v>2.0808030228785857E-2</v>
      </c>
      <c r="BF21" s="46">
        <f t="shared" si="140"/>
        <v>127221.08628061959</v>
      </c>
      <c r="BG21" s="125">
        <f t="shared" si="141"/>
        <v>127221.08628061959</v>
      </c>
      <c r="BH21" s="115" t="s">
        <v>8</v>
      </c>
      <c r="BI21" s="123" t="s">
        <v>8</v>
      </c>
      <c r="BJ21" s="126">
        <f t="shared" si="142"/>
        <v>0.66787051190474767</v>
      </c>
      <c r="BK21" s="124">
        <f t="shared" si="143"/>
        <v>1.8293162150817333E-2</v>
      </c>
      <c r="BL21" s="46">
        <f t="shared" si="144"/>
        <v>118253.88005524599</v>
      </c>
      <c r="BM21" s="125">
        <f t="shared" si="145"/>
        <v>118253.88005524599</v>
      </c>
      <c r="BN21" s="115" t="s">
        <v>8</v>
      </c>
      <c r="BO21" s="123" t="s">
        <v>8</v>
      </c>
      <c r="BP21" s="126">
        <f t="shared" si="146"/>
        <v>0.70429368921859103</v>
      </c>
      <c r="BQ21" s="124">
        <f t="shared" si="147"/>
        <v>1.6585191089566353E-2</v>
      </c>
      <c r="BR21" s="46">
        <f t="shared" si="148"/>
        <v>113533.37569685506</v>
      </c>
      <c r="BS21" s="127">
        <f t="shared" si="149"/>
        <v>113533.37569685506</v>
      </c>
      <c r="BT21" s="115" t="s">
        <v>8</v>
      </c>
      <c r="BU21" s="123" t="s">
        <v>8</v>
      </c>
      <c r="BV21" s="126">
        <f t="shared" si="150"/>
        <v>0.7392629119799401</v>
      </c>
      <c r="BW21" s="124">
        <f t="shared" si="151"/>
        <v>1.4311295942372126E-2</v>
      </c>
      <c r="BX21" s="46">
        <f t="shared" si="152"/>
        <v>102404.55523436639</v>
      </c>
      <c r="BY21" s="127">
        <f t="shared" si="153"/>
        <v>102404.55523436639</v>
      </c>
      <c r="BZ21" s="115" t="s">
        <v>8</v>
      </c>
      <c r="CA21" s="123" t="s">
        <v>8</v>
      </c>
      <c r="CB21" s="126">
        <f t="shared" si="154"/>
        <v>0.77080436559908605</v>
      </c>
      <c r="CC21" s="124">
        <f t="shared" si="155"/>
        <v>1.294269677749027E-2</v>
      </c>
      <c r="CD21" s="46">
        <f t="shared" si="156"/>
        <v>97008.698560311517</v>
      </c>
      <c r="CE21" s="127">
        <f t="shared" si="157"/>
        <v>25438.009968006227</v>
      </c>
      <c r="CF21" s="115" t="s">
        <v>8</v>
      </c>
      <c r="CG21" s="123" t="s">
        <v>8</v>
      </c>
      <c r="CH21" s="126">
        <f t="shared" si="158"/>
        <v>0.77863948396596894</v>
      </c>
      <c r="CI21" s="124">
        <f t="shared" si="159"/>
        <v>1.2380523285299039E-2</v>
      </c>
      <c r="CJ21" s="46">
        <f t="shared" si="160"/>
        <v>93597.656351773912</v>
      </c>
      <c r="CK21" s="127">
        <f t="shared" si="161"/>
        <v>0</v>
      </c>
      <c r="CL21" s="115" t="s">
        <v>8</v>
      </c>
      <c r="CM21" s="123" t="s">
        <v>8</v>
      </c>
      <c r="CN21" s="126">
        <f t="shared" si="162"/>
        <v>0.77863948396596894</v>
      </c>
      <c r="CO21" s="124">
        <f t="shared" si="163"/>
        <v>1.2380523285299039E-2</v>
      </c>
      <c r="CP21" s="46">
        <f t="shared" si="164"/>
        <v>93597.656351773912</v>
      </c>
      <c r="CQ21" s="127">
        <f t="shared" si="165"/>
        <v>0</v>
      </c>
      <c r="CR21" s="115" t="s">
        <v>8</v>
      </c>
      <c r="CS21" s="123" t="s">
        <v>8</v>
      </c>
      <c r="CT21" s="126">
        <f t="shared" si="166"/>
        <v>0.77863948396596894</v>
      </c>
      <c r="CU21" s="124">
        <f t="shared" si="167"/>
        <v>1.2380523285299039E-2</v>
      </c>
      <c r="CV21" s="46">
        <f t="shared" si="168"/>
        <v>93597.656351773912</v>
      </c>
      <c r="CW21" s="127">
        <f t="shared" si="169"/>
        <v>0</v>
      </c>
      <c r="CX21" s="115" t="s">
        <v>8</v>
      </c>
      <c r="CY21" s="123" t="s">
        <v>8</v>
      </c>
      <c r="CZ21" s="126">
        <f t="shared" si="170"/>
        <v>0.77863948396596894</v>
      </c>
      <c r="DA21" s="124">
        <f t="shared" si="171"/>
        <v>1.2380523285299039E-2</v>
      </c>
      <c r="DB21" s="46">
        <f t="shared" si="172"/>
        <v>93597.656351773912</v>
      </c>
      <c r="DC21" s="127">
        <f t="shared" si="173"/>
        <v>0</v>
      </c>
      <c r="DD21" s="115" t="s">
        <v>8</v>
      </c>
      <c r="DE21" s="123" t="s">
        <v>8</v>
      </c>
      <c r="DF21" s="126">
        <f t="shared" si="174"/>
        <v>0.77863948396596894</v>
      </c>
      <c r="DG21" s="124">
        <f t="shared" si="175"/>
        <v>1.2380523285299039E-2</v>
      </c>
      <c r="DH21" s="46">
        <f t="shared" si="176"/>
        <v>93597.656351773912</v>
      </c>
      <c r="DI21" s="127">
        <f t="shared" si="177"/>
        <v>0</v>
      </c>
      <c r="DJ21" s="115" t="s">
        <v>8</v>
      </c>
      <c r="DK21" s="123" t="s">
        <v>8</v>
      </c>
      <c r="DL21" s="126">
        <f t="shared" si="178"/>
        <v>0.77863948396596894</v>
      </c>
      <c r="DM21" s="124">
        <f t="shared" si="179"/>
        <v>1.2380523285299039E-2</v>
      </c>
      <c r="DN21" s="46">
        <f t="shared" si="180"/>
        <v>93597.656351773912</v>
      </c>
      <c r="DO21" s="127">
        <f t="shared" si="181"/>
        <v>0</v>
      </c>
      <c r="DP21" s="115" t="s">
        <v>8</v>
      </c>
      <c r="DQ21" s="123" t="s">
        <v>8</v>
      </c>
      <c r="DR21" s="126">
        <f t="shared" si="182"/>
        <v>0.77863948396596894</v>
      </c>
      <c r="DS21" s="124">
        <f t="shared" si="183"/>
        <v>1.2380523285299039E-2</v>
      </c>
      <c r="DT21" s="46">
        <f t="shared" si="184"/>
        <v>93597.656351773912</v>
      </c>
      <c r="DU21" s="127">
        <f t="shared" si="185"/>
        <v>0</v>
      </c>
      <c r="DV21" s="115" t="s">
        <v>8</v>
      </c>
      <c r="DW21" s="123" t="s">
        <v>8</v>
      </c>
      <c r="DX21" s="30">
        <f t="shared" si="186"/>
        <v>0.77863948396596894</v>
      </c>
      <c r="DY21" s="124">
        <f t="shared" si="187"/>
        <v>1.2380523285299039E-2</v>
      </c>
      <c r="DZ21" s="29">
        <f t="shared" si="188"/>
        <v>93597.656351773912</v>
      </c>
      <c r="EA21" s="125">
        <f t="shared" si="189"/>
        <v>0</v>
      </c>
      <c r="EB21" s="115" t="s">
        <v>8</v>
      </c>
      <c r="EC21" s="123" t="s">
        <v>8</v>
      </c>
      <c r="ED21" s="30">
        <f t="shared" si="190"/>
        <v>0.77863948396596894</v>
      </c>
      <c r="EE21" s="124">
        <f t="shared" si="191"/>
        <v>1.2380523285299039E-2</v>
      </c>
      <c r="EF21" s="29">
        <f t="shared" si="192"/>
        <v>93597.656351773912</v>
      </c>
      <c r="EG21" s="125">
        <f t="shared" si="193"/>
        <v>0</v>
      </c>
      <c r="EH21" s="115" t="s">
        <v>8</v>
      </c>
      <c r="EI21" s="123" t="s">
        <v>8</v>
      </c>
      <c r="EJ21" s="30">
        <f t="shared" si="194"/>
        <v>0.77863948396596894</v>
      </c>
      <c r="EK21" s="124">
        <f t="shared" si="195"/>
        <v>1.2380523285299039E-2</v>
      </c>
      <c r="EL21" s="29">
        <f t="shared" si="196"/>
        <v>93597.656351773912</v>
      </c>
      <c r="EM21" s="125">
        <f t="shared" si="197"/>
        <v>0</v>
      </c>
      <c r="EN21" s="115" t="s">
        <v>8</v>
      </c>
      <c r="EO21" s="123" t="s">
        <v>8</v>
      </c>
      <c r="EP21" s="30">
        <f t="shared" si="198"/>
        <v>0.77863948396596894</v>
      </c>
      <c r="EQ21" s="124">
        <f t="shared" si="199"/>
        <v>1.2380523285299039E-2</v>
      </c>
      <c r="ER21" s="29">
        <f t="shared" si="200"/>
        <v>93597.656351773912</v>
      </c>
      <c r="ES21" s="125">
        <f t="shared" si="201"/>
        <v>0</v>
      </c>
      <c r="ET21" s="115" t="s">
        <v>8</v>
      </c>
      <c r="EU21" s="123" t="s">
        <v>8</v>
      </c>
      <c r="EV21" s="30">
        <f t="shared" si="202"/>
        <v>0.77863948396596894</v>
      </c>
      <c r="EW21" s="124">
        <f t="shared" si="203"/>
        <v>1.2380523285299039E-2</v>
      </c>
      <c r="EX21" s="29">
        <f t="shared" si="204"/>
        <v>93597.656351773912</v>
      </c>
      <c r="EY21" s="125">
        <f t="shared" si="205"/>
        <v>0</v>
      </c>
      <c r="EZ21" s="115" t="s">
        <v>8</v>
      </c>
      <c r="FA21" s="123" t="s">
        <v>8</v>
      </c>
      <c r="FB21" s="30">
        <f t="shared" si="206"/>
        <v>0.77863948396596894</v>
      </c>
      <c r="FC21" s="124">
        <f t="shared" si="207"/>
        <v>1.2380523285299039E-2</v>
      </c>
      <c r="FD21" s="29">
        <f t="shared" si="208"/>
        <v>93597.656351773912</v>
      </c>
      <c r="FE21" s="125">
        <f t="shared" si="209"/>
        <v>0</v>
      </c>
      <c r="FF21" s="115" t="s">
        <v>8</v>
      </c>
      <c r="FG21" s="123" t="s">
        <v>8</v>
      </c>
      <c r="FH21" s="30">
        <f t="shared" si="210"/>
        <v>0.77863948396596894</v>
      </c>
      <c r="FI21" s="124">
        <f t="shared" si="211"/>
        <v>1.2380523285299039E-2</v>
      </c>
      <c r="FJ21" s="29">
        <f t="shared" si="212"/>
        <v>93597.656351773912</v>
      </c>
      <c r="FK21" s="125">
        <f t="shared" si="213"/>
        <v>0</v>
      </c>
      <c r="FL21" s="115" t="s">
        <v>8</v>
      </c>
      <c r="FM21" s="123" t="s">
        <v>8</v>
      </c>
      <c r="FN21" s="30">
        <f t="shared" si="214"/>
        <v>0.77863948396596894</v>
      </c>
      <c r="FO21" s="124">
        <f t="shared" si="215"/>
        <v>1.2380523285299039E-2</v>
      </c>
      <c r="FP21" s="29">
        <f t="shared" si="216"/>
        <v>93597.656351773912</v>
      </c>
      <c r="FQ21" s="125">
        <f t="shared" si="217"/>
        <v>0</v>
      </c>
      <c r="FR21" s="115" t="s">
        <v>8</v>
      </c>
      <c r="FS21" s="123" t="s">
        <v>8</v>
      </c>
      <c r="FT21" s="30">
        <f t="shared" si="218"/>
        <v>0.77863948396596894</v>
      </c>
      <c r="FU21" s="124">
        <f t="shared" si="219"/>
        <v>1.2380523285299039E-2</v>
      </c>
      <c r="FV21" s="29">
        <f t="shared" si="220"/>
        <v>93597.656351773912</v>
      </c>
      <c r="FW21" s="125">
        <f t="shared" si="221"/>
        <v>0</v>
      </c>
      <c r="FX21" s="115" t="s">
        <v>8</v>
      </c>
      <c r="FY21" s="123" t="s">
        <v>8</v>
      </c>
      <c r="FZ21" s="30">
        <f t="shared" si="222"/>
        <v>0.77863948396596894</v>
      </c>
      <c r="GA21" s="124">
        <f t="shared" si="223"/>
        <v>1.2380523285299039E-2</v>
      </c>
      <c r="GB21" s="29">
        <f t="shared" si="224"/>
        <v>93597.656351773912</v>
      </c>
      <c r="GC21" s="125">
        <f t="shared" si="225"/>
        <v>0</v>
      </c>
      <c r="GD21" s="115" t="s">
        <v>8</v>
      </c>
      <c r="GE21" s="123" t="s">
        <v>8</v>
      </c>
      <c r="GF21" s="30">
        <f t="shared" si="226"/>
        <v>0.77863948396596894</v>
      </c>
      <c r="GG21" s="124">
        <f t="shared" si="227"/>
        <v>1.2380523285299039E-2</v>
      </c>
      <c r="GH21" s="29">
        <f t="shared" si="228"/>
        <v>93597.656351773912</v>
      </c>
      <c r="GI21" s="127">
        <f t="shared" si="229"/>
        <v>0</v>
      </c>
      <c r="GJ21" s="115" t="s">
        <v>8</v>
      </c>
      <c r="GK21" s="123" t="s">
        <v>8</v>
      </c>
      <c r="GL21" s="30">
        <f t="shared" si="230"/>
        <v>0.77863948396596894</v>
      </c>
      <c r="GM21" s="124">
        <f t="shared" si="231"/>
        <v>1.2380523285299039E-2</v>
      </c>
      <c r="GN21" s="29">
        <f t="shared" si="232"/>
        <v>93597.656351773912</v>
      </c>
      <c r="GO21" s="127">
        <f t="shared" si="233"/>
        <v>0</v>
      </c>
      <c r="GP21" s="215">
        <f t="shared" si="234"/>
        <v>1983022.6111007747</v>
      </c>
      <c r="GQ21" s="238">
        <f t="shared" si="235"/>
        <v>2040669.0963942769</v>
      </c>
      <c r="GR21" s="196">
        <f t="shared" si="236"/>
        <v>0.77863948396596894</v>
      </c>
      <c r="GS21" s="242">
        <v>2040669.1</v>
      </c>
    </row>
    <row r="22" spans="1:201" s="20" customFormat="1" ht="31.5" x14ac:dyDescent="0.25">
      <c r="A22" s="159" t="s">
        <v>185</v>
      </c>
      <c r="B22" s="131" t="s">
        <v>8</v>
      </c>
      <c r="C22" s="131" t="s">
        <v>8</v>
      </c>
      <c r="D22" s="131" t="s">
        <v>8</v>
      </c>
      <c r="E22" s="131" t="s">
        <v>8</v>
      </c>
      <c r="F22" s="131" t="s">
        <v>8</v>
      </c>
      <c r="G22" s="116">
        <f>'Исходные данные'!C24</f>
        <v>580</v>
      </c>
      <c r="H22" s="117">
        <f>'Исходные данные'!D24</f>
        <v>1563282</v>
      </c>
      <c r="I22" s="118">
        <f>'Расчет КРП'!G20</f>
        <v>4.0063131313131315</v>
      </c>
      <c r="J22" s="119" t="s">
        <v>8</v>
      </c>
      <c r="K22" s="120">
        <f t="shared" si="109"/>
        <v>0.40158200572186653</v>
      </c>
      <c r="L22" s="121">
        <f t="shared" si="237"/>
        <v>64546.25766453908</v>
      </c>
      <c r="M22" s="122">
        <f t="shared" si="110"/>
        <v>0.41816290130869338</v>
      </c>
      <c r="N22" s="123" t="s">
        <v>8</v>
      </c>
      <c r="O22" s="124">
        <f t="shared" si="111"/>
        <v>-0.14355568328659346</v>
      </c>
      <c r="P22" s="29">
        <f t="shared" si="112"/>
        <v>0</v>
      </c>
      <c r="Q22" s="125">
        <f>IF(($F$26-P$26)&gt;0,P22,$F$26*P22/P$26)</f>
        <v>0</v>
      </c>
      <c r="R22" s="136" t="s">
        <v>8</v>
      </c>
      <c r="S22" s="123" t="s">
        <v>8</v>
      </c>
      <c r="T22" s="126">
        <f t="shared" si="114"/>
        <v>0.41816290130869338</v>
      </c>
      <c r="U22" s="124">
        <f t="shared" si="115"/>
        <v>-6.7731159831596832E-2</v>
      </c>
      <c r="V22" s="46">
        <f>IF(U22&gt;0,$G22*$I22*(($H$26+$L$26+$Q$26)/$G$26)*U22,0)</f>
        <v>0</v>
      </c>
      <c r="W22" s="125">
        <f t="shared" si="117"/>
        <v>0</v>
      </c>
      <c r="X22" s="115" t="s">
        <v>8</v>
      </c>
      <c r="Y22" s="123" t="s">
        <v>8</v>
      </c>
      <c r="Z22" s="126">
        <f t="shared" si="118"/>
        <v>0.41816290130869338</v>
      </c>
      <c r="AA22" s="124">
        <f t="shared" si="119"/>
        <v>-3.2960369547357371E-3</v>
      </c>
      <c r="AB22" s="46">
        <f t="shared" si="120"/>
        <v>0</v>
      </c>
      <c r="AC22" s="125">
        <f t="shared" si="121"/>
        <v>0</v>
      </c>
      <c r="AD22" s="115" t="s">
        <v>8</v>
      </c>
      <c r="AE22" s="123" t="s">
        <v>8</v>
      </c>
      <c r="AF22" s="126">
        <f t="shared" si="122"/>
        <v>0.41816290130869338</v>
      </c>
      <c r="AG22" s="124">
        <f t="shared" si="123"/>
        <v>5.3503706670902595E-2</v>
      </c>
      <c r="AH22" s="46">
        <f t="shared" si="124"/>
        <v>305494.5535129027</v>
      </c>
      <c r="AI22" s="125">
        <f t="shared" si="125"/>
        <v>305494.5535129027</v>
      </c>
      <c r="AJ22" s="115" t="s">
        <v>8</v>
      </c>
      <c r="AK22" s="123" t="s">
        <v>8</v>
      </c>
      <c r="AL22" s="126">
        <f t="shared" si="126"/>
        <v>0.49663953926449256</v>
      </c>
      <c r="AM22" s="124">
        <f t="shared" si="127"/>
        <v>2.7183487908164161E-2</v>
      </c>
      <c r="AN22" s="46">
        <f t="shared" si="128"/>
        <v>166520.10224406116</v>
      </c>
      <c r="AO22" s="125">
        <f t="shared" si="129"/>
        <v>166520.10224406116</v>
      </c>
      <c r="AP22" s="115" t="s">
        <v>8</v>
      </c>
      <c r="AQ22" s="123" t="s">
        <v>8</v>
      </c>
      <c r="AR22" s="126">
        <f t="shared" si="130"/>
        <v>0.53941587562106819</v>
      </c>
      <c r="AS22" s="124">
        <f t="shared" si="131"/>
        <v>3.1244191806968358E-2</v>
      </c>
      <c r="AT22" s="46">
        <f t="shared" si="132"/>
        <v>203058.48372489694</v>
      </c>
      <c r="AU22" s="125">
        <f t="shared" si="133"/>
        <v>203058.48372489694</v>
      </c>
      <c r="AV22" s="115" t="s">
        <v>8</v>
      </c>
      <c r="AW22" s="123" t="s">
        <v>8</v>
      </c>
      <c r="AX22" s="126">
        <f t="shared" si="134"/>
        <v>0.59157833458438069</v>
      </c>
      <c r="AY22" s="124">
        <f t="shared" si="135"/>
        <v>2.008465097750578E-2</v>
      </c>
      <c r="AZ22" s="46">
        <f t="shared" si="136"/>
        <v>137098.30433505939</v>
      </c>
      <c r="BA22" s="125">
        <f t="shared" si="137"/>
        <v>137098.30433505939</v>
      </c>
      <c r="BB22" s="115" t="s">
        <v>8</v>
      </c>
      <c r="BC22" s="123" t="s">
        <v>8</v>
      </c>
      <c r="BD22" s="126">
        <f t="shared" si="138"/>
        <v>0.6267966842077628</v>
      </c>
      <c r="BE22" s="124">
        <f t="shared" si="139"/>
        <v>2.2696706609856565E-2</v>
      </c>
      <c r="BF22" s="46">
        <f t="shared" si="140"/>
        <v>166385.88638379477</v>
      </c>
      <c r="BG22" s="125">
        <f t="shared" si="141"/>
        <v>166385.88638379477</v>
      </c>
      <c r="BH22" s="115" t="s">
        <v>8</v>
      </c>
      <c r="BI22" s="123" t="s">
        <v>8</v>
      </c>
      <c r="BJ22" s="126">
        <f t="shared" si="142"/>
        <v>0.66953854266824209</v>
      </c>
      <c r="BK22" s="124">
        <f t="shared" si="143"/>
        <v>1.6625131387322911E-2</v>
      </c>
      <c r="BL22" s="46">
        <f t="shared" si="144"/>
        <v>128859.72883317979</v>
      </c>
      <c r="BM22" s="125">
        <f t="shared" si="145"/>
        <v>128859.72883317979</v>
      </c>
      <c r="BN22" s="115" t="s">
        <v>8</v>
      </c>
      <c r="BO22" s="123" t="s">
        <v>8</v>
      </c>
      <c r="BP22" s="126">
        <f t="shared" si="146"/>
        <v>0.70264053473467936</v>
      </c>
      <c r="BQ22" s="124">
        <f t="shared" si="147"/>
        <v>1.8238345573478032E-2</v>
      </c>
      <c r="BR22" s="46">
        <f t="shared" si="148"/>
        <v>149697.31922660026</v>
      </c>
      <c r="BS22" s="127">
        <f t="shared" si="149"/>
        <v>149697.31922660026</v>
      </c>
      <c r="BT22" s="115" t="s">
        <v>8</v>
      </c>
      <c r="BU22" s="123" t="s">
        <v>8</v>
      </c>
      <c r="BV22" s="126">
        <f t="shared" si="150"/>
        <v>0.74109536867136161</v>
      </c>
      <c r="BW22" s="124">
        <f t="shared" si="151"/>
        <v>1.2478839250950613E-2</v>
      </c>
      <c r="BX22" s="46">
        <f t="shared" si="152"/>
        <v>107063.14948707134</v>
      </c>
      <c r="BY22" s="127">
        <f t="shared" si="153"/>
        <v>107063.14948707134</v>
      </c>
      <c r="BZ22" s="115" t="s">
        <v>8</v>
      </c>
      <c r="CA22" s="123" t="s">
        <v>8</v>
      </c>
      <c r="CB22" s="126">
        <f t="shared" si="154"/>
        <v>0.76859817002768649</v>
      </c>
      <c r="CC22" s="124">
        <f t="shared" si="155"/>
        <v>1.5148892348889831E-2</v>
      </c>
      <c r="CD22" s="46">
        <f t="shared" si="156"/>
        <v>136142.05211535428</v>
      </c>
      <c r="CE22" s="127">
        <f t="shared" si="157"/>
        <v>35699.714872703924</v>
      </c>
      <c r="CF22" s="115" t="s">
        <v>8</v>
      </c>
      <c r="CG22" s="123" t="s">
        <v>8</v>
      </c>
      <c r="CH22" s="126">
        <f t="shared" si="158"/>
        <v>0.77776885266989637</v>
      </c>
      <c r="CI22" s="124">
        <f t="shared" si="159"/>
        <v>1.3251154581371605E-2</v>
      </c>
      <c r="CJ22" s="46">
        <f t="shared" si="160"/>
        <v>120117.201324815</v>
      </c>
      <c r="CK22" s="127">
        <f t="shared" si="161"/>
        <v>0</v>
      </c>
      <c r="CL22" s="115" t="s">
        <v>8</v>
      </c>
      <c r="CM22" s="123" t="s">
        <v>8</v>
      </c>
      <c r="CN22" s="126">
        <f t="shared" si="162"/>
        <v>0.77776885266989637</v>
      </c>
      <c r="CO22" s="124">
        <f t="shared" si="163"/>
        <v>1.3251154581371605E-2</v>
      </c>
      <c r="CP22" s="46">
        <f t="shared" si="164"/>
        <v>120117.201324815</v>
      </c>
      <c r="CQ22" s="127">
        <f t="shared" si="165"/>
        <v>0</v>
      </c>
      <c r="CR22" s="115" t="s">
        <v>8</v>
      </c>
      <c r="CS22" s="123" t="s">
        <v>8</v>
      </c>
      <c r="CT22" s="126">
        <f t="shared" si="166"/>
        <v>0.77776885266989637</v>
      </c>
      <c r="CU22" s="124">
        <f t="shared" si="167"/>
        <v>1.3251154581371605E-2</v>
      </c>
      <c r="CV22" s="46">
        <f t="shared" si="168"/>
        <v>120117.201324815</v>
      </c>
      <c r="CW22" s="127">
        <f t="shared" si="169"/>
        <v>0</v>
      </c>
      <c r="CX22" s="115" t="s">
        <v>8</v>
      </c>
      <c r="CY22" s="123" t="s">
        <v>8</v>
      </c>
      <c r="CZ22" s="126">
        <f t="shared" si="170"/>
        <v>0.77776885266989637</v>
      </c>
      <c r="DA22" s="124">
        <f t="shared" si="171"/>
        <v>1.3251154581371605E-2</v>
      </c>
      <c r="DB22" s="46">
        <f t="shared" si="172"/>
        <v>120117.201324815</v>
      </c>
      <c r="DC22" s="127">
        <f t="shared" si="173"/>
        <v>0</v>
      </c>
      <c r="DD22" s="115" t="s">
        <v>8</v>
      </c>
      <c r="DE22" s="123" t="s">
        <v>8</v>
      </c>
      <c r="DF22" s="126">
        <f t="shared" si="174"/>
        <v>0.77776885266989637</v>
      </c>
      <c r="DG22" s="124">
        <f t="shared" si="175"/>
        <v>1.3251154581371605E-2</v>
      </c>
      <c r="DH22" s="46">
        <f t="shared" si="176"/>
        <v>120117.201324815</v>
      </c>
      <c r="DI22" s="127">
        <f t="shared" si="177"/>
        <v>0</v>
      </c>
      <c r="DJ22" s="115" t="s">
        <v>8</v>
      </c>
      <c r="DK22" s="123" t="s">
        <v>8</v>
      </c>
      <c r="DL22" s="126">
        <f t="shared" si="178"/>
        <v>0.77776885266989637</v>
      </c>
      <c r="DM22" s="124">
        <f t="shared" si="179"/>
        <v>1.3251154581371605E-2</v>
      </c>
      <c r="DN22" s="46">
        <f t="shared" si="180"/>
        <v>120117.201324815</v>
      </c>
      <c r="DO22" s="127">
        <f t="shared" si="181"/>
        <v>0</v>
      </c>
      <c r="DP22" s="115" t="s">
        <v>8</v>
      </c>
      <c r="DQ22" s="123" t="s">
        <v>8</v>
      </c>
      <c r="DR22" s="126">
        <f t="shared" si="182"/>
        <v>0.77776885266989637</v>
      </c>
      <c r="DS22" s="124">
        <f t="shared" si="183"/>
        <v>1.3251154581371605E-2</v>
      </c>
      <c r="DT22" s="46">
        <f t="shared" si="184"/>
        <v>120117.201324815</v>
      </c>
      <c r="DU22" s="127">
        <f t="shared" si="185"/>
        <v>0</v>
      </c>
      <c r="DV22" s="115" t="s">
        <v>8</v>
      </c>
      <c r="DW22" s="123" t="s">
        <v>8</v>
      </c>
      <c r="DX22" s="30">
        <f t="shared" si="186"/>
        <v>0.77776885266989637</v>
      </c>
      <c r="DY22" s="124">
        <f t="shared" si="187"/>
        <v>1.3251154581371605E-2</v>
      </c>
      <c r="DZ22" s="29">
        <f t="shared" si="188"/>
        <v>120117.201324815</v>
      </c>
      <c r="EA22" s="125">
        <f t="shared" si="189"/>
        <v>0</v>
      </c>
      <c r="EB22" s="115" t="s">
        <v>8</v>
      </c>
      <c r="EC22" s="123" t="s">
        <v>8</v>
      </c>
      <c r="ED22" s="30">
        <f t="shared" si="190"/>
        <v>0.77776885266989637</v>
      </c>
      <c r="EE22" s="124">
        <f t="shared" si="191"/>
        <v>1.3251154581371605E-2</v>
      </c>
      <c r="EF22" s="29">
        <f t="shared" si="192"/>
        <v>120117.201324815</v>
      </c>
      <c r="EG22" s="125">
        <f t="shared" si="193"/>
        <v>0</v>
      </c>
      <c r="EH22" s="115" t="s">
        <v>8</v>
      </c>
      <c r="EI22" s="123" t="s">
        <v>8</v>
      </c>
      <c r="EJ22" s="30">
        <f t="shared" si="194"/>
        <v>0.77776885266989637</v>
      </c>
      <c r="EK22" s="124">
        <f t="shared" si="195"/>
        <v>1.3251154581371605E-2</v>
      </c>
      <c r="EL22" s="29">
        <f t="shared" si="196"/>
        <v>120117.201324815</v>
      </c>
      <c r="EM22" s="125">
        <f t="shared" si="197"/>
        <v>0</v>
      </c>
      <c r="EN22" s="115" t="s">
        <v>8</v>
      </c>
      <c r="EO22" s="123" t="s">
        <v>8</v>
      </c>
      <c r="EP22" s="30">
        <f t="shared" si="198"/>
        <v>0.77776885266989637</v>
      </c>
      <c r="EQ22" s="124">
        <f t="shared" si="199"/>
        <v>1.3251154581371605E-2</v>
      </c>
      <c r="ER22" s="29">
        <f t="shared" si="200"/>
        <v>120117.201324815</v>
      </c>
      <c r="ES22" s="125">
        <f t="shared" si="201"/>
        <v>0</v>
      </c>
      <c r="ET22" s="115" t="s">
        <v>8</v>
      </c>
      <c r="EU22" s="123" t="s">
        <v>8</v>
      </c>
      <c r="EV22" s="30">
        <f t="shared" si="202"/>
        <v>0.77776885266989637</v>
      </c>
      <c r="EW22" s="124">
        <f t="shared" si="203"/>
        <v>1.3251154581371605E-2</v>
      </c>
      <c r="EX22" s="29">
        <f t="shared" si="204"/>
        <v>120117.201324815</v>
      </c>
      <c r="EY22" s="125">
        <f t="shared" si="205"/>
        <v>0</v>
      </c>
      <c r="EZ22" s="115" t="s">
        <v>8</v>
      </c>
      <c r="FA22" s="123" t="s">
        <v>8</v>
      </c>
      <c r="FB22" s="30">
        <f t="shared" si="206"/>
        <v>0.77776885266989637</v>
      </c>
      <c r="FC22" s="124">
        <f t="shared" si="207"/>
        <v>1.3251154581371605E-2</v>
      </c>
      <c r="FD22" s="29">
        <f t="shared" si="208"/>
        <v>120117.201324815</v>
      </c>
      <c r="FE22" s="125">
        <f t="shared" si="209"/>
        <v>0</v>
      </c>
      <c r="FF22" s="115" t="s">
        <v>8</v>
      </c>
      <c r="FG22" s="123" t="s">
        <v>8</v>
      </c>
      <c r="FH22" s="30">
        <f t="shared" si="210"/>
        <v>0.77776885266989637</v>
      </c>
      <c r="FI22" s="124">
        <f t="shared" si="211"/>
        <v>1.3251154581371605E-2</v>
      </c>
      <c r="FJ22" s="29">
        <f t="shared" si="212"/>
        <v>120117.201324815</v>
      </c>
      <c r="FK22" s="125">
        <f t="shared" si="213"/>
        <v>0</v>
      </c>
      <c r="FL22" s="115" t="s">
        <v>8</v>
      </c>
      <c r="FM22" s="123" t="s">
        <v>8</v>
      </c>
      <c r="FN22" s="30">
        <f t="shared" si="214"/>
        <v>0.77776885266989637</v>
      </c>
      <c r="FO22" s="124">
        <f t="shared" si="215"/>
        <v>1.3251154581371605E-2</v>
      </c>
      <c r="FP22" s="29">
        <f t="shared" si="216"/>
        <v>120117.201324815</v>
      </c>
      <c r="FQ22" s="125">
        <f t="shared" si="217"/>
        <v>0</v>
      </c>
      <c r="FR22" s="115" t="s">
        <v>8</v>
      </c>
      <c r="FS22" s="123" t="s">
        <v>8</v>
      </c>
      <c r="FT22" s="30">
        <f t="shared" si="218"/>
        <v>0.77776885266989637</v>
      </c>
      <c r="FU22" s="124">
        <f t="shared" si="219"/>
        <v>1.3251154581371605E-2</v>
      </c>
      <c r="FV22" s="29">
        <f t="shared" si="220"/>
        <v>120117.201324815</v>
      </c>
      <c r="FW22" s="125">
        <f t="shared" si="221"/>
        <v>0</v>
      </c>
      <c r="FX22" s="115" t="s">
        <v>8</v>
      </c>
      <c r="FY22" s="123" t="s">
        <v>8</v>
      </c>
      <c r="FZ22" s="30">
        <f t="shared" si="222"/>
        <v>0.77776885266989637</v>
      </c>
      <c r="GA22" s="124">
        <f t="shared" si="223"/>
        <v>1.3251154581371605E-2</v>
      </c>
      <c r="GB22" s="29">
        <f t="shared" si="224"/>
        <v>120117.201324815</v>
      </c>
      <c r="GC22" s="125">
        <f t="shared" si="225"/>
        <v>0</v>
      </c>
      <c r="GD22" s="115" t="s">
        <v>8</v>
      </c>
      <c r="GE22" s="123" t="s">
        <v>8</v>
      </c>
      <c r="GF22" s="30">
        <f t="shared" si="226"/>
        <v>0.77776885266989637</v>
      </c>
      <c r="GG22" s="124">
        <f t="shared" si="227"/>
        <v>1.3251154581371605E-2</v>
      </c>
      <c r="GH22" s="29">
        <f t="shared" si="228"/>
        <v>120117.201324815</v>
      </c>
      <c r="GI22" s="127">
        <f t="shared" si="229"/>
        <v>0</v>
      </c>
      <c r="GJ22" s="115" t="s">
        <v>8</v>
      </c>
      <c r="GK22" s="123" t="s">
        <v>8</v>
      </c>
      <c r="GL22" s="30">
        <f t="shared" si="230"/>
        <v>0.77776885266989637</v>
      </c>
      <c r="GM22" s="124">
        <f t="shared" si="231"/>
        <v>1.3251154581371605E-2</v>
      </c>
      <c r="GN22" s="29">
        <f t="shared" si="232"/>
        <v>120117.201324815</v>
      </c>
      <c r="GO22" s="127">
        <f t="shared" si="233"/>
        <v>0</v>
      </c>
      <c r="GP22" s="215">
        <f t="shared" si="234"/>
        <v>1399877.2426202702</v>
      </c>
      <c r="GQ22" s="238">
        <f t="shared" si="235"/>
        <v>1464423.5002848094</v>
      </c>
      <c r="GR22" s="196">
        <f t="shared" si="236"/>
        <v>0.77776885266989648</v>
      </c>
      <c r="GS22" s="242">
        <v>1464423.5</v>
      </c>
    </row>
    <row r="23" spans="1:201" s="20" customFormat="1" x14ac:dyDescent="0.25">
      <c r="A23" s="159" t="s">
        <v>186</v>
      </c>
      <c r="B23" s="131" t="s">
        <v>8</v>
      </c>
      <c r="C23" s="131" t="s">
        <v>8</v>
      </c>
      <c r="D23" s="131" t="s">
        <v>8</v>
      </c>
      <c r="E23" s="131" t="s">
        <v>8</v>
      </c>
      <c r="F23" s="131" t="s">
        <v>8</v>
      </c>
      <c r="G23" s="116">
        <f>'Исходные данные'!C25</f>
        <v>435</v>
      </c>
      <c r="H23" s="117">
        <f>'Исходные данные'!D25</f>
        <v>449890</v>
      </c>
      <c r="I23" s="118">
        <f>'Расчет КРП'!G21</f>
        <v>4.1130734430557894</v>
      </c>
      <c r="J23" s="119" t="s">
        <v>8</v>
      </c>
      <c r="K23" s="120">
        <f t="shared" si="109"/>
        <v>0.15009299366062959</v>
      </c>
      <c r="L23" s="121">
        <f t="shared" si="237"/>
        <v>48409.693248404306</v>
      </c>
      <c r="M23" s="122">
        <f t="shared" si="110"/>
        <v>0.16624350996871773</v>
      </c>
      <c r="N23" s="123" t="s">
        <v>8</v>
      </c>
      <c r="O23" s="124">
        <f t="shared" si="111"/>
        <v>0.10836370805338219</v>
      </c>
      <c r="P23" s="29">
        <f t="shared" si="112"/>
        <v>346386.87101204868</v>
      </c>
      <c r="Q23" s="125">
        <f t="shared" si="113"/>
        <v>346386.87101204868</v>
      </c>
      <c r="R23" s="136" t="s">
        <v>8</v>
      </c>
      <c r="S23" s="123" t="s">
        <v>8</v>
      </c>
      <c r="T23" s="126">
        <f t="shared" si="114"/>
        <v>0.2818056305647228</v>
      </c>
      <c r="U23" s="124">
        <f t="shared" si="115"/>
        <v>6.862611091237375E-2</v>
      </c>
      <c r="V23" s="46">
        <f t="shared" si="116"/>
        <v>251064.64059447637</v>
      </c>
      <c r="W23" s="125">
        <f t="shared" si="117"/>
        <v>251064.64059447637</v>
      </c>
      <c r="X23" s="115" t="s">
        <v>8</v>
      </c>
      <c r="Y23" s="123" t="s">
        <v>8</v>
      </c>
      <c r="Z23" s="126">
        <f t="shared" si="118"/>
        <v>0.36556620205809903</v>
      </c>
      <c r="AA23" s="124">
        <f t="shared" si="119"/>
        <v>4.930066229585861E-2</v>
      </c>
      <c r="AB23" s="46">
        <f t="shared" si="120"/>
        <v>199592.67484728771</v>
      </c>
      <c r="AC23" s="125">
        <f t="shared" si="121"/>
        <v>199592.67484728771</v>
      </c>
      <c r="AD23" s="115" t="s">
        <v>8</v>
      </c>
      <c r="AE23" s="123" t="s">
        <v>8</v>
      </c>
      <c r="AF23" s="126">
        <f t="shared" si="122"/>
        <v>0.43215461718304515</v>
      </c>
      <c r="AG23" s="124">
        <f t="shared" si="123"/>
        <v>3.9511990796550822E-2</v>
      </c>
      <c r="AH23" s="46">
        <f t="shared" si="124"/>
        <v>173712.61203816065</v>
      </c>
      <c r="AI23" s="125">
        <f t="shared" si="125"/>
        <v>173712.61203816065</v>
      </c>
      <c r="AJ23" s="115" t="s">
        <v>8</v>
      </c>
      <c r="AK23" s="123" t="s">
        <v>8</v>
      </c>
      <c r="AL23" s="126">
        <f t="shared" si="126"/>
        <v>0.49010888595411156</v>
      </c>
      <c r="AM23" s="124">
        <f t="shared" si="127"/>
        <v>3.3714141218545157E-2</v>
      </c>
      <c r="AN23" s="46">
        <f t="shared" si="128"/>
        <v>159021.71302901433</v>
      </c>
      <c r="AO23" s="125">
        <f t="shared" si="129"/>
        <v>159021.71302901433</v>
      </c>
      <c r="AP23" s="115" t="s">
        <v>8</v>
      </c>
      <c r="AQ23" s="123" t="s">
        <v>8</v>
      </c>
      <c r="AR23" s="126">
        <f t="shared" si="130"/>
        <v>0.54316195440543591</v>
      </c>
      <c r="AS23" s="124">
        <f t="shared" si="131"/>
        <v>2.7498113022600634E-2</v>
      </c>
      <c r="AT23" s="46">
        <f t="shared" si="132"/>
        <v>137606.06425314487</v>
      </c>
      <c r="AU23" s="125">
        <f t="shared" si="133"/>
        <v>137606.06425314487</v>
      </c>
      <c r="AV23" s="115" t="s">
        <v>8</v>
      </c>
      <c r="AW23" s="123" t="s">
        <v>8</v>
      </c>
      <c r="AX23" s="126">
        <f t="shared" si="134"/>
        <v>0.58907030117822801</v>
      </c>
      <c r="AY23" s="124">
        <f t="shared" si="135"/>
        <v>2.2592684383658468E-2</v>
      </c>
      <c r="AZ23" s="46">
        <f t="shared" si="136"/>
        <v>118745.85716129915</v>
      </c>
      <c r="BA23" s="125">
        <f t="shared" si="137"/>
        <v>118745.85716129915</v>
      </c>
      <c r="BB23" s="115" t="s">
        <v>8</v>
      </c>
      <c r="BC23" s="123" t="s">
        <v>8</v>
      </c>
      <c r="BD23" s="126">
        <f t="shared" si="138"/>
        <v>0.62868647665698274</v>
      </c>
      <c r="BE23" s="124">
        <f t="shared" si="139"/>
        <v>2.0806914160636625E-2</v>
      </c>
      <c r="BF23" s="46">
        <f t="shared" si="140"/>
        <v>117447.60190869805</v>
      </c>
      <c r="BG23" s="125">
        <f t="shared" si="141"/>
        <v>117447.60190869805</v>
      </c>
      <c r="BH23" s="115" t="s">
        <v>8</v>
      </c>
      <c r="BI23" s="123" t="s">
        <v>8</v>
      </c>
      <c r="BJ23" s="126">
        <f t="shared" si="142"/>
        <v>0.66786952622185025</v>
      </c>
      <c r="BK23" s="124">
        <f t="shared" si="143"/>
        <v>1.8294147833714747E-2</v>
      </c>
      <c r="BL23" s="46">
        <f t="shared" si="144"/>
        <v>109181.02027900421</v>
      </c>
      <c r="BM23" s="125">
        <f t="shared" si="145"/>
        <v>109181.02027900421</v>
      </c>
      <c r="BN23" s="115" t="s">
        <v>8</v>
      </c>
      <c r="BO23" s="123" t="s">
        <v>8</v>
      </c>
      <c r="BP23" s="126">
        <f t="shared" si="146"/>
        <v>0.70429466611070679</v>
      </c>
      <c r="BQ23" s="124">
        <f t="shared" si="147"/>
        <v>1.6584214197450597E-2</v>
      </c>
      <c r="BR23" s="46">
        <f t="shared" si="148"/>
        <v>104810.86817337722</v>
      </c>
      <c r="BS23" s="127">
        <f t="shared" si="149"/>
        <v>104810.86817337722</v>
      </c>
      <c r="BT23" s="115" t="s">
        <v>8</v>
      </c>
      <c r="BU23" s="123" t="s">
        <v>8</v>
      </c>
      <c r="BV23" s="126">
        <f t="shared" si="150"/>
        <v>0.73926182913347194</v>
      </c>
      <c r="BW23" s="124">
        <f t="shared" si="151"/>
        <v>1.4312378788840285E-2</v>
      </c>
      <c r="BX23" s="46">
        <f t="shared" si="152"/>
        <v>94549.771480547497</v>
      </c>
      <c r="BY23" s="127">
        <f t="shared" si="153"/>
        <v>94549.771480547497</v>
      </c>
      <c r="BZ23" s="115" t="s">
        <v>8</v>
      </c>
      <c r="CA23" s="123" t="s">
        <v>8</v>
      </c>
      <c r="CB23" s="126">
        <f t="shared" si="154"/>
        <v>0.7708056692976093</v>
      </c>
      <c r="CC23" s="124">
        <f t="shared" si="155"/>
        <v>1.2941393078967023E-2</v>
      </c>
      <c r="CD23" s="46">
        <f t="shared" si="156"/>
        <v>89551.997814315167</v>
      </c>
      <c r="CE23" s="127">
        <f t="shared" si="157"/>
        <v>23482.683994973344</v>
      </c>
      <c r="CF23" s="115" t="s">
        <v>8</v>
      </c>
      <c r="CG23" s="123" t="s">
        <v>8</v>
      </c>
      <c r="CH23" s="126">
        <f t="shared" si="158"/>
        <v>0.77863999844471665</v>
      </c>
      <c r="CI23" s="124">
        <f t="shared" si="159"/>
        <v>1.2380008806551324E-2</v>
      </c>
      <c r="CJ23" s="46">
        <f t="shared" si="160"/>
        <v>86408.263085205748</v>
      </c>
      <c r="CK23" s="127">
        <f t="shared" si="161"/>
        <v>0</v>
      </c>
      <c r="CL23" s="115" t="s">
        <v>8</v>
      </c>
      <c r="CM23" s="123" t="s">
        <v>8</v>
      </c>
      <c r="CN23" s="126">
        <f t="shared" si="162"/>
        <v>0.77863999844471665</v>
      </c>
      <c r="CO23" s="124">
        <f t="shared" si="163"/>
        <v>1.2380008806551324E-2</v>
      </c>
      <c r="CP23" s="46">
        <f t="shared" si="164"/>
        <v>86408.263085205748</v>
      </c>
      <c r="CQ23" s="127">
        <f t="shared" si="165"/>
        <v>0</v>
      </c>
      <c r="CR23" s="115" t="s">
        <v>8</v>
      </c>
      <c r="CS23" s="123" t="s">
        <v>8</v>
      </c>
      <c r="CT23" s="126">
        <f t="shared" si="166"/>
        <v>0.77863999844471665</v>
      </c>
      <c r="CU23" s="124">
        <f t="shared" si="167"/>
        <v>1.2380008806551324E-2</v>
      </c>
      <c r="CV23" s="46">
        <f t="shared" si="168"/>
        <v>86408.263085205748</v>
      </c>
      <c r="CW23" s="127">
        <f t="shared" si="169"/>
        <v>0</v>
      </c>
      <c r="CX23" s="115" t="s">
        <v>8</v>
      </c>
      <c r="CY23" s="123" t="s">
        <v>8</v>
      </c>
      <c r="CZ23" s="126">
        <f t="shared" si="170"/>
        <v>0.77863999844471665</v>
      </c>
      <c r="DA23" s="124">
        <f t="shared" si="171"/>
        <v>1.2380008806551324E-2</v>
      </c>
      <c r="DB23" s="46">
        <f t="shared" si="172"/>
        <v>86408.263085205748</v>
      </c>
      <c r="DC23" s="127">
        <f t="shared" si="173"/>
        <v>0</v>
      </c>
      <c r="DD23" s="115" t="s">
        <v>8</v>
      </c>
      <c r="DE23" s="123" t="s">
        <v>8</v>
      </c>
      <c r="DF23" s="126">
        <f t="shared" si="174"/>
        <v>0.77863999844471665</v>
      </c>
      <c r="DG23" s="124">
        <f t="shared" si="175"/>
        <v>1.2380008806551324E-2</v>
      </c>
      <c r="DH23" s="46">
        <f t="shared" si="176"/>
        <v>86408.263085205748</v>
      </c>
      <c r="DI23" s="127">
        <f t="shared" si="177"/>
        <v>0</v>
      </c>
      <c r="DJ23" s="115" t="s">
        <v>8</v>
      </c>
      <c r="DK23" s="123" t="s">
        <v>8</v>
      </c>
      <c r="DL23" s="126">
        <f t="shared" si="178"/>
        <v>0.77863999844471665</v>
      </c>
      <c r="DM23" s="124">
        <f t="shared" si="179"/>
        <v>1.2380008806551324E-2</v>
      </c>
      <c r="DN23" s="46">
        <f t="shared" si="180"/>
        <v>86408.263085205748</v>
      </c>
      <c r="DO23" s="127">
        <f t="shared" si="181"/>
        <v>0</v>
      </c>
      <c r="DP23" s="115" t="s">
        <v>8</v>
      </c>
      <c r="DQ23" s="123" t="s">
        <v>8</v>
      </c>
      <c r="DR23" s="126">
        <f t="shared" si="182"/>
        <v>0.77863999844471665</v>
      </c>
      <c r="DS23" s="124">
        <f t="shared" si="183"/>
        <v>1.2380008806551324E-2</v>
      </c>
      <c r="DT23" s="46">
        <f t="shared" si="184"/>
        <v>86408.263085205748</v>
      </c>
      <c r="DU23" s="127">
        <f t="shared" si="185"/>
        <v>0</v>
      </c>
      <c r="DV23" s="115" t="s">
        <v>8</v>
      </c>
      <c r="DW23" s="123" t="s">
        <v>8</v>
      </c>
      <c r="DX23" s="30">
        <f t="shared" si="186"/>
        <v>0.77863999844471665</v>
      </c>
      <c r="DY23" s="124">
        <f t="shared" si="187"/>
        <v>1.2380008806551324E-2</v>
      </c>
      <c r="DZ23" s="29">
        <f t="shared" si="188"/>
        <v>86408.263085205748</v>
      </c>
      <c r="EA23" s="125">
        <f t="shared" si="189"/>
        <v>0</v>
      </c>
      <c r="EB23" s="115" t="s">
        <v>8</v>
      </c>
      <c r="EC23" s="123" t="s">
        <v>8</v>
      </c>
      <c r="ED23" s="30">
        <f t="shared" si="190"/>
        <v>0.77863999844471665</v>
      </c>
      <c r="EE23" s="124">
        <f t="shared" si="191"/>
        <v>1.2380008806551324E-2</v>
      </c>
      <c r="EF23" s="29">
        <f t="shared" si="192"/>
        <v>86408.263085205748</v>
      </c>
      <c r="EG23" s="125">
        <f t="shared" si="193"/>
        <v>0</v>
      </c>
      <c r="EH23" s="115" t="s">
        <v>8</v>
      </c>
      <c r="EI23" s="123" t="s">
        <v>8</v>
      </c>
      <c r="EJ23" s="30">
        <f t="shared" si="194"/>
        <v>0.77863999844471665</v>
      </c>
      <c r="EK23" s="124">
        <f t="shared" si="195"/>
        <v>1.2380008806551324E-2</v>
      </c>
      <c r="EL23" s="29">
        <f t="shared" si="196"/>
        <v>86408.263085205748</v>
      </c>
      <c r="EM23" s="125">
        <f t="shared" si="197"/>
        <v>0</v>
      </c>
      <c r="EN23" s="115" t="s">
        <v>8</v>
      </c>
      <c r="EO23" s="123" t="s">
        <v>8</v>
      </c>
      <c r="EP23" s="30">
        <f t="shared" si="198"/>
        <v>0.77863999844471665</v>
      </c>
      <c r="EQ23" s="124">
        <f t="shared" si="199"/>
        <v>1.2380008806551324E-2</v>
      </c>
      <c r="ER23" s="29">
        <f t="shared" si="200"/>
        <v>86408.263085205748</v>
      </c>
      <c r="ES23" s="125">
        <f t="shared" si="201"/>
        <v>0</v>
      </c>
      <c r="ET23" s="115" t="s">
        <v>8</v>
      </c>
      <c r="EU23" s="123" t="s">
        <v>8</v>
      </c>
      <c r="EV23" s="30">
        <f t="shared" si="202"/>
        <v>0.77863999844471665</v>
      </c>
      <c r="EW23" s="124">
        <f t="shared" si="203"/>
        <v>1.2380008806551324E-2</v>
      </c>
      <c r="EX23" s="29">
        <f t="shared" si="204"/>
        <v>86408.263085205748</v>
      </c>
      <c r="EY23" s="125">
        <f t="shared" si="205"/>
        <v>0</v>
      </c>
      <c r="EZ23" s="115" t="s">
        <v>8</v>
      </c>
      <c r="FA23" s="123" t="s">
        <v>8</v>
      </c>
      <c r="FB23" s="30">
        <f t="shared" si="206"/>
        <v>0.77863999844471665</v>
      </c>
      <c r="FC23" s="124">
        <f t="shared" si="207"/>
        <v>1.2380008806551324E-2</v>
      </c>
      <c r="FD23" s="29">
        <f t="shared" si="208"/>
        <v>86408.263085205748</v>
      </c>
      <c r="FE23" s="125">
        <f t="shared" si="209"/>
        <v>0</v>
      </c>
      <c r="FF23" s="115" t="s">
        <v>8</v>
      </c>
      <c r="FG23" s="123" t="s">
        <v>8</v>
      </c>
      <c r="FH23" s="30">
        <f t="shared" si="210"/>
        <v>0.77863999844471665</v>
      </c>
      <c r="FI23" s="124">
        <f t="shared" si="211"/>
        <v>1.2380008806551324E-2</v>
      </c>
      <c r="FJ23" s="29">
        <f t="shared" si="212"/>
        <v>86408.263085205748</v>
      </c>
      <c r="FK23" s="125">
        <f t="shared" si="213"/>
        <v>0</v>
      </c>
      <c r="FL23" s="115" t="s">
        <v>8</v>
      </c>
      <c r="FM23" s="123" t="s">
        <v>8</v>
      </c>
      <c r="FN23" s="30">
        <f t="shared" si="214"/>
        <v>0.77863999844471665</v>
      </c>
      <c r="FO23" s="124">
        <f t="shared" si="215"/>
        <v>1.2380008806551324E-2</v>
      </c>
      <c r="FP23" s="29">
        <f t="shared" si="216"/>
        <v>86408.263085205748</v>
      </c>
      <c r="FQ23" s="125">
        <f t="shared" si="217"/>
        <v>0</v>
      </c>
      <c r="FR23" s="115" t="s">
        <v>8</v>
      </c>
      <c r="FS23" s="123" t="s">
        <v>8</v>
      </c>
      <c r="FT23" s="30">
        <f t="shared" si="218"/>
        <v>0.77863999844471665</v>
      </c>
      <c r="FU23" s="124">
        <f t="shared" si="219"/>
        <v>1.2380008806551324E-2</v>
      </c>
      <c r="FV23" s="29">
        <f t="shared" si="220"/>
        <v>86408.263085205748</v>
      </c>
      <c r="FW23" s="125">
        <f t="shared" si="221"/>
        <v>0</v>
      </c>
      <c r="FX23" s="115" t="s">
        <v>8</v>
      </c>
      <c r="FY23" s="123" t="s">
        <v>8</v>
      </c>
      <c r="FZ23" s="30">
        <f t="shared" si="222"/>
        <v>0.77863999844471665</v>
      </c>
      <c r="GA23" s="124">
        <f t="shared" si="223"/>
        <v>1.2380008806551324E-2</v>
      </c>
      <c r="GB23" s="29">
        <f t="shared" si="224"/>
        <v>86408.263085205748</v>
      </c>
      <c r="GC23" s="125">
        <f t="shared" si="225"/>
        <v>0</v>
      </c>
      <c r="GD23" s="115" t="s">
        <v>8</v>
      </c>
      <c r="GE23" s="123" t="s">
        <v>8</v>
      </c>
      <c r="GF23" s="30">
        <f t="shared" si="226"/>
        <v>0.77863999844471665</v>
      </c>
      <c r="GG23" s="124">
        <f t="shared" si="227"/>
        <v>1.2380008806551324E-2</v>
      </c>
      <c r="GH23" s="29">
        <f t="shared" si="228"/>
        <v>86408.263085205748</v>
      </c>
      <c r="GI23" s="127">
        <f t="shared" si="229"/>
        <v>0</v>
      </c>
      <c r="GJ23" s="115" t="s">
        <v>8</v>
      </c>
      <c r="GK23" s="123" t="s">
        <v>8</v>
      </c>
      <c r="GL23" s="30">
        <f t="shared" si="230"/>
        <v>0.77863999844471665</v>
      </c>
      <c r="GM23" s="124">
        <f t="shared" si="231"/>
        <v>1.2380008806551324E-2</v>
      </c>
      <c r="GN23" s="29">
        <f t="shared" si="232"/>
        <v>86408.263085205748</v>
      </c>
      <c r="GO23" s="127">
        <f t="shared" si="233"/>
        <v>0</v>
      </c>
      <c r="GP23" s="215">
        <f t="shared" si="234"/>
        <v>1835602.378772032</v>
      </c>
      <c r="GQ23" s="238">
        <f t="shared" si="235"/>
        <v>1884012.0720204362</v>
      </c>
      <c r="GR23" s="196">
        <f t="shared" si="236"/>
        <v>0.77863999844471665</v>
      </c>
      <c r="GS23" s="242">
        <v>1884012.07</v>
      </c>
    </row>
    <row r="24" spans="1:201" s="20" customFormat="1" x14ac:dyDescent="0.25">
      <c r="A24" s="159" t="s">
        <v>187</v>
      </c>
      <c r="B24" s="131" t="s">
        <v>8</v>
      </c>
      <c r="C24" s="131" t="s">
        <v>8</v>
      </c>
      <c r="D24" s="131" t="s">
        <v>8</v>
      </c>
      <c r="E24" s="131" t="s">
        <v>8</v>
      </c>
      <c r="F24" s="131" t="s">
        <v>8</v>
      </c>
      <c r="G24" s="116">
        <f>'Исходные данные'!C26</f>
        <v>464</v>
      </c>
      <c r="H24" s="117">
        <f>'Исходные данные'!D26</f>
        <v>963349</v>
      </c>
      <c r="I24" s="118">
        <f>'Расчет КРП'!G22</f>
        <v>4.3299536869564328</v>
      </c>
      <c r="J24" s="119" t="s">
        <v>8</v>
      </c>
      <c r="K24" s="120">
        <f t="shared" si="109"/>
        <v>0.28621488783302246</v>
      </c>
      <c r="L24" s="121">
        <f t="shared" si="237"/>
        <v>51637.006131631264</v>
      </c>
      <c r="M24" s="122">
        <f t="shared" si="110"/>
        <v>0.30155645139721149</v>
      </c>
      <c r="N24" s="123" t="s">
        <v>8</v>
      </c>
      <c r="O24" s="124">
        <f t="shared" si="111"/>
        <v>-2.694923337511157E-2</v>
      </c>
      <c r="P24" s="29">
        <f t="shared" si="112"/>
        <v>0</v>
      </c>
      <c r="Q24" s="125">
        <f t="shared" si="113"/>
        <v>0</v>
      </c>
      <c r="R24" s="136" t="s">
        <v>8</v>
      </c>
      <c r="S24" s="123" t="s">
        <v>8</v>
      </c>
      <c r="T24" s="126">
        <f t="shared" si="114"/>
        <v>0.30155645139721149</v>
      </c>
      <c r="U24" s="124">
        <f t="shared" si="115"/>
        <v>4.8875290079885059E-2</v>
      </c>
      <c r="V24" s="46">
        <f t="shared" si="116"/>
        <v>200784.88792024678</v>
      </c>
      <c r="W24" s="125">
        <f t="shared" si="117"/>
        <v>200784.88792024678</v>
      </c>
      <c r="X24" s="115" t="s">
        <v>8</v>
      </c>
      <c r="Y24" s="123" t="s">
        <v>8</v>
      </c>
      <c r="Z24" s="126">
        <f t="shared" si="118"/>
        <v>0.36121045443729288</v>
      </c>
      <c r="AA24" s="124">
        <f t="shared" si="119"/>
        <v>5.365640991666476E-2</v>
      </c>
      <c r="AB24" s="46">
        <f t="shared" si="120"/>
        <v>243926.48999895685</v>
      </c>
      <c r="AC24" s="125">
        <f t="shared" si="121"/>
        <v>243926.48999895685</v>
      </c>
      <c r="AD24" s="115" t="s">
        <v>8</v>
      </c>
      <c r="AE24" s="123" t="s">
        <v>8</v>
      </c>
      <c r="AF24" s="126">
        <f t="shared" si="122"/>
        <v>0.43368200210543217</v>
      </c>
      <c r="AG24" s="124">
        <f t="shared" si="123"/>
        <v>3.7984605874163802E-2</v>
      </c>
      <c r="AH24" s="46">
        <f t="shared" si="124"/>
        <v>187523.44533282361</v>
      </c>
      <c r="AI24" s="125">
        <f t="shared" si="125"/>
        <v>187523.44533282361</v>
      </c>
      <c r="AJ24" s="115" t="s">
        <v>8</v>
      </c>
      <c r="AK24" s="123" t="s">
        <v>8</v>
      </c>
      <c r="AL24" s="126">
        <f t="shared" si="126"/>
        <v>0.48939597686639214</v>
      </c>
      <c r="AM24" s="124">
        <f t="shared" si="127"/>
        <v>3.4427050306264584E-2</v>
      </c>
      <c r="AN24" s="46">
        <f t="shared" si="128"/>
        <v>182343.23290118764</v>
      </c>
      <c r="AO24" s="125">
        <f t="shared" si="129"/>
        <v>182343.23290118764</v>
      </c>
      <c r="AP24" s="115" t="s">
        <v>8</v>
      </c>
      <c r="AQ24" s="123" t="s">
        <v>8</v>
      </c>
      <c r="AR24" s="126">
        <f t="shared" si="130"/>
        <v>0.54357088954281996</v>
      </c>
      <c r="AS24" s="124">
        <f t="shared" si="131"/>
        <v>2.7089177885216587E-2</v>
      </c>
      <c r="AT24" s="46">
        <f t="shared" si="132"/>
        <v>152221.50672167528</v>
      </c>
      <c r="AU24" s="125">
        <f t="shared" si="133"/>
        <v>152221.50672167528</v>
      </c>
      <c r="AV24" s="115" t="s">
        <v>8</v>
      </c>
      <c r="AW24" s="123" t="s">
        <v>8</v>
      </c>
      <c r="AX24" s="126">
        <f t="shared" si="134"/>
        <v>0.58879651542930334</v>
      </c>
      <c r="AY24" s="124">
        <f t="shared" si="135"/>
        <v>2.2866470132583139E-2</v>
      </c>
      <c r="AZ24" s="46">
        <f t="shared" si="136"/>
        <v>134956.95480225596</v>
      </c>
      <c r="BA24" s="125">
        <f t="shared" si="137"/>
        <v>134956.95480225596</v>
      </c>
      <c r="BB24" s="115" t="s">
        <v>8</v>
      </c>
      <c r="BC24" s="123" t="s">
        <v>8</v>
      </c>
      <c r="BD24" s="126">
        <f t="shared" si="138"/>
        <v>0.62889277304831182</v>
      </c>
      <c r="BE24" s="124">
        <f t="shared" si="139"/>
        <v>2.060061776930755E-2</v>
      </c>
      <c r="BF24" s="46">
        <f t="shared" si="140"/>
        <v>130575.66091165139</v>
      </c>
      <c r="BG24" s="125">
        <f t="shared" si="141"/>
        <v>130575.66091165139</v>
      </c>
      <c r="BH24" s="115" t="s">
        <v>8</v>
      </c>
      <c r="BI24" s="123" t="s">
        <v>8</v>
      </c>
      <c r="BJ24" s="126">
        <f t="shared" si="142"/>
        <v>0.66768733051559626</v>
      </c>
      <c r="BK24" s="124">
        <f t="shared" si="143"/>
        <v>1.8476343539968743E-2</v>
      </c>
      <c r="BL24" s="46">
        <f t="shared" si="144"/>
        <v>123821.62614170478</v>
      </c>
      <c r="BM24" s="125">
        <f t="shared" si="145"/>
        <v>123821.62614170478</v>
      </c>
      <c r="BN24" s="115" t="s">
        <v>8</v>
      </c>
      <c r="BO24" s="123" t="s">
        <v>8</v>
      </c>
      <c r="BP24" s="126">
        <f t="shared" si="146"/>
        <v>0.70447523691031955</v>
      </c>
      <c r="BQ24" s="124">
        <f t="shared" si="147"/>
        <v>1.6403643397837842E-2</v>
      </c>
      <c r="BR24" s="46">
        <f t="shared" si="148"/>
        <v>116411.86579086729</v>
      </c>
      <c r="BS24" s="127">
        <f t="shared" si="149"/>
        <v>116411.86579086729</v>
      </c>
      <c r="BT24" s="115" t="s">
        <v>8</v>
      </c>
      <c r="BU24" s="123" t="s">
        <v>8</v>
      </c>
      <c r="BV24" s="126">
        <f t="shared" si="150"/>
        <v>0.73906167350782048</v>
      </c>
      <c r="BW24" s="124">
        <f t="shared" si="151"/>
        <v>1.451253441449174E-2</v>
      </c>
      <c r="BX24" s="46">
        <f t="shared" si="152"/>
        <v>107655.80057707141</v>
      </c>
      <c r="BY24" s="127">
        <f t="shared" si="153"/>
        <v>107655.80057707141</v>
      </c>
      <c r="BZ24" s="115" t="s">
        <v>8</v>
      </c>
      <c r="CA24" s="123" t="s">
        <v>8</v>
      </c>
      <c r="CB24" s="126">
        <f t="shared" si="154"/>
        <v>0.77104664768305786</v>
      </c>
      <c r="CC24" s="124">
        <f t="shared" si="155"/>
        <v>1.2700414693518458E-2</v>
      </c>
      <c r="CD24" s="46">
        <f t="shared" si="156"/>
        <v>98686.480903313161</v>
      </c>
      <c r="CE24" s="127">
        <f t="shared" si="157"/>
        <v>25877.964782356059</v>
      </c>
      <c r="CF24" s="115" t="s">
        <v>8</v>
      </c>
      <c r="CG24" s="123" t="s">
        <v>8</v>
      </c>
      <c r="CH24" s="126">
        <f t="shared" si="158"/>
        <v>0.77873509578185585</v>
      </c>
      <c r="CI24" s="124">
        <f t="shared" si="159"/>
        <v>1.228491146941213E-2</v>
      </c>
      <c r="CJ24" s="46">
        <f t="shared" si="160"/>
        <v>96283.498749108621</v>
      </c>
      <c r="CK24" s="127">
        <f t="shared" si="161"/>
        <v>0</v>
      </c>
      <c r="CL24" s="115" t="s">
        <v>8</v>
      </c>
      <c r="CM24" s="123" t="s">
        <v>8</v>
      </c>
      <c r="CN24" s="126">
        <f t="shared" si="162"/>
        <v>0.77873509578185585</v>
      </c>
      <c r="CO24" s="124">
        <f t="shared" si="163"/>
        <v>1.228491146941213E-2</v>
      </c>
      <c r="CP24" s="46">
        <f t="shared" si="164"/>
        <v>96283.498749108621</v>
      </c>
      <c r="CQ24" s="127">
        <f t="shared" si="165"/>
        <v>0</v>
      </c>
      <c r="CR24" s="115" t="s">
        <v>8</v>
      </c>
      <c r="CS24" s="123" t="s">
        <v>8</v>
      </c>
      <c r="CT24" s="126">
        <f t="shared" si="166"/>
        <v>0.77873509578185585</v>
      </c>
      <c r="CU24" s="124">
        <f t="shared" si="167"/>
        <v>1.228491146941213E-2</v>
      </c>
      <c r="CV24" s="46">
        <f t="shared" si="168"/>
        <v>96283.498749108621</v>
      </c>
      <c r="CW24" s="127">
        <f t="shared" si="169"/>
        <v>0</v>
      </c>
      <c r="CX24" s="115" t="s">
        <v>8</v>
      </c>
      <c r="CY24" s="123" t="s">
        <v>8</v>
      </c>
      <c r="CZ24" s="126">
        <f t="shared" si="170"/>
        <v>0.77873509578185585</v>
      </c>
      <c r="DA24" s="124">
        <f t="shared" si="171"/>
        <v>1.228491146941213E-2</v>
      </c>
      <c r="DB24" s="46">
        <f t="shared" si="172"/>
        <v>96283.498749108621</v>
      </c>
      <c r="DC24" s="127">
        <f t="shared" si="173"/>
        <v>0</v>
      </c>
      <c r="DD24" s="115" t="s">
        <v>8</v>
      </c>
      <c r="DE24" s="123" t="s">
        <v>8</v>
      </c>
      <c r="DF24" s="126">
        <f t="shared" si="174"/>
        <v>0.77873509578185585</v>
      </c>
      <c r="DG24" s="124">
        <f t="shared" si="175"/>
        <v>1.228491146941213E-2</v>
      </c>
      <c r="DH24" s="46">
        <f t="shared" si="176"/>
        <v>96283.498749108621</v>
      </c>
      <c r="DI24" s="127">
        <f t="shared" si="177"/>
        <v>0</v>
      </c>
      <c r="DJ24" s="115" t="s">
        <v>8</v>
      </c>
      <c r="DK24" s="123" t="s">
        <v>8</v>
      </c>
      <c r="DL24" s="126">
        <f t="shared" si="178"/>
        <v>0.77873509578185585</v>
      </c>
      <c r="DM24" s="124">
        <f t="shared" si="179"/>
        <v>1.228491146941213E-2</v>
      </c>
      <c r="DN24" s="46">
        <f t="shared" si="180"/>
        <v>96283.498749108621</v>
      </c>
      <c r="DO24" s="127">
        <f t="shared" si="181"/>
        <v>0</v>
      </c>
      <c r="DP24" s="115" t="s">
        <v>8</v>
      </c>
      <c r="DQ24" s="123" t="s">
        <v>8</v>
      </c>
      <c r="DR24" s="126">
        <f t="shared" si="182"/>
        <v>0.77873509578185585</v>
      </c>
      <c r="DS24" s="124">
        <f t="shared" si="183"/>
        <v>1.228491146941213E-2</v>
      </c>
      <c r="DT24" s="46">
        <f t="shared" si="184"/>
        <v>96283.498749108621</v>
      </c>
      <c r="DU24" s="127">
        <f t="shared" si="185"/>
        <v>0</v>
      </c>
      <c r="DV24" s="115" t="s">
        <v>8</v>
      </c>
      <c r="DW24" s="123" t="s">
        <v>8</v>
      </c>
      <c r="DX24" s="30">
        <f t="shared" si="186"/>
        <v>0.77873509578185585</v>
      </c>
      <c r="DY24" s="124">
        <f t="shared" si="187"/>
        <v>1.228491146941213E-2</v>
      </c>
      <c r="DZ24" s="29">
        <f t="shared" si="188"/>
        <v>96283.498749108621</v>
      </c>
      <c r="EA24" s="125">
        <f t="shared" si="189"/>
        <v>0</v>
      </c>
      <c r="EB24" s="115" t="s">
        <v>8</v>
      </c>
      <c r="EC24" s="123" t="s">
        <v>8</v>
      </c>
      <c r="ED24" s="30">
        <f t="shared" si="190"/>
        <v>0.77873509578185585</v>
      </c>
      <c r="EE24" s="124">
        <f t="shared" si="191"/>
        <v>1.228491146941213E-2</v>
      </c>
      <c r="EF24" s="29">
        <f t="shared" si="192"/>
        <v>96283.498749108621</v>
      </c>
      <c r="EG24" s="125">
        <f t="shared" si="193"/>
        <v>0</v>
      </c>
      <c r="EH24" s="115" t="s">
        <v>8</v>
      </c>
      <c r="EI24" s="123" t="s">
        <v>8</v>
      </c>
      <c r="EJ24" s="30">
        <f t="shared" si="194"/>
        <v>0.77873509578185585</v>
      </c>
      <c r="EK24" s="124">
        <f t="shared" si="195"/>
        <v>1.228491146941213E-2</v>
      </c>
      <c r="EL24" s="29">
        <f t="shared" si="196"/>
        <v>96283.498749108621</v>
      </c>
      <c r="EM24" s="125">
        <f t="shared" si="197"/>
        <v>0</v>
      </c>
      <c r="EN24" s="115" t="s">
        <v>8</v>
      </c>
      <c r="EO24" s="123" t="s">
        <v>8</v>
      </c>
      <c r="EP24" s="30">
        <f t="shared" si="198"/>
        <v>0.77873509578185585</v>
      </c>
      <c r="EQ24" s="124">
        <f t="shared" si="199"/>
        <v>1.228491146941213E-2</v>
      </c>
      <c r="ER24" s="29">
        <f t="shared" si="200"/>
        <v>96283.498749108621</v>
      </c>
      <c r="ES24" s="125">
        <f t="shared" si="201"/>
        <v>0</v>
      </c>
      <c r="ET24" s="115" t="s">
        <v>8</v>
      </c>
      <c r="EU24" s="123" t="s">
        <v>8</v>
      </c>
      <c r="EV24" s="30">
        <f t="shared" si="202"/>
        <v>0.77873509578185585</v>
      </c>
      <c r="EW24" s="124">
        <f t="shared" si="203"/>
        <v>1.228491146941213E-2</v>
      </c>
      <c r="EX24" s="29">
        <f t="shared" si="204"/>
        <v>96283.498749108621</v>
      </c>
      <c r="EY24" s="125">
        <f t="shared" si="205"/>
        <v>0</v>
      </c>
      <c r="EZ24" s="115" t="s">
        <v>8</v>
      </c>
      <c r="FA24" s="123" t="s">
        <v>8</v>
      </c>
      <c r="FB24" s="30">
        <f t="shared" si="206"/>
        <v>0.77873509578185585</v>
      </c>
      <c r="FC24" s="124">
        <f t="shared" si="207"/>
        <v>1.228491146941213E-2</v>
      </c>
      <c r="FD24" s="29">
        <f t="shared" si="208"/>
        <v>96283.498749108621</v>
      </c>
      <c r="FE24" s="125">
        <f t="shared" si="209"/>
        <v>0</v>
      </c>
      <c r="FF24" s="115" t="s">
        <v>8</v>
      </c>
      <c r="FG24" s="123" t="s">
        <v>8</v>
      </c>
      <c r="FH24" s="30">
        <f t="shared" si="210"/>
        <v>0.77873509578185585</v>
      </c>
      <c r="FI24" s="124">
        <f t="shared" si="211"/>
        <v>1.228491146941213E-2</v>
      </c>
      <c r="FJ24" s="29">
        <f t="shared" si="212"/>
        <v>96283.498749108621</v>
      </c>
      <c r="FK24" s="125">
        <f t="shared" si="213"/>
        <v>0</v>
      </c>
      <c r="FL24" s="115" t="s">
        <v>8</v>
      </c>
      <c r="FM24" s="123" t="s">
        <v>8</v>
      </c>
      <c r="FN24" s="30">
        <f t="shared" si="214"/>
        <v>0.77873509578185585</v>
      </c>
      <c r="FO24" s="124">
        <f t="shared" si="215"/>
        <v>1.228491146941213E-2</v>
      </c>
      <c r="FP24" s="29">
        <f t="shared" si="216"/>
        <v>96283.498749108621</v>
      </c>
      <c r="FQ24" s="125">
        <f t="shared" si="217"/>
        <v>0</v>
      </c>
      <c r="FR24" s="115" t="s">
        <v>8</v>
      </c>
      <c r="FS24" s="123" t="s">
        <v>8</v>
      </c>
      <c r="FT24" s="30">
        <f t="shared" si="218"/>
        <v>0.77873509578185585</v>
      </c>
      <c r="FU24" s="124">
        <f t="shared" si="219"/>
        <v>1.228491146941213E-2</v>
      </c>
      <c r="FV24" s="29">
        <f t="shared" si="220"/>
        <v>96283.498749108621</v>
      </c>
      <c r="FW24" s="125">
        <f t="shared" si="221"/>
        <v>0</v>
      </c>
      <c r="FX24" s="115" t="s">
        <v>8</v>
      </c>
      <c r="FY24" s="123" t="s">
        <v>8</v>
      </c>
      <c r="FZ24" s="30">
        <f t="shared" si="222"/>
        <v>0.77873509578185585</v>
      </c>
      <c r="GA24" s="124">
        <f t="shared" si="223"/>
        <v>1.228491146941213E-2</v>
      </c>
      <c r="GB24" s="29">
        <f t="shared" si="224"/>
        <v>96283.498749108621</v>
      </c>
      <c r="GC24" s="125">
        <f t="shared" si="225"/>
        <v>0</v>
      </c>
      <c r="GD24" s="115" t="s">
        <v>8</v>
      </c>
      <c r="GE24" s="123" t="s">
        <v>8</v>
      </c>
      <c r="GF24" s="30">
        <f t="shared" si="226"/>
        <v>0.77873509578185585</v>
      </c>
      <c r="GG24" s="124">
        <f t="shared" si="227"/>
        <v>1.228491146941213E-2</v>
      </c>
      <c r="GH24" s="29">
        <f t="shared" si="228"/>
        <v>96283.498749108621</v>
      </c>
      <c r="GI24" s="127">
        <f t="shared" si="229"/>
        <v>0</v>
      </c>
      <c r="GJ24" s="115" t="s">
        <v>8</v>
      </c>
      <c r="GK24" s="123" t="s">
        <v>8</v>
      </c>
      <c r="GL24" s="30">
        <f t="shared" si="230"/>
        <v>0.77873509578185585</v>
      </c>
      <c r="GM24" s="124">
        <f t="shared" si="231"/>
        <v>1.228491146941213E-2</v>
      </c>
      <c r="GN24" s="29">
        <f t="shared" si="232"/>
        <v>96283.498749108621</v>
      </c>
      <c r="GO24" s="127">
        <f t="shared" si="233"/>
        <v>0</v>
      </c>
      <c r="GP24" s="215">
        <f t="shared" si="234"/>
        <v>1606099.435880797</v>
      </c>
      <c r="GQ24" s="238">
        <f t="shared" si="235"/>
        <v>1657736.4420124283</v>
      </c>
      <c r="GR24" s="196">
        <f t="shared" si="236"/>
        <v>0.77873509578185596</v>
      </c>
      <c r="GS24" s="242">
        <v>1657736.44</v>
      </c>
    </row>
    <row r="25" spans="1:201" s="20" customFormat="1" ht="32.25" thickBot="1" x14ac:dyDescent="0.3">
      <c r="A25" s="160" t="s">
        <v>188</v>
      </c>
      <c r="B25" s="131" t="s">
        <v>8</v>
      </c>
      <c r="C25" s="131" t="s">
        <v>8</v>
      </c>
      <c r="D25" s="131" t="s">
        <v>8</v>
      </c>
      <c r="E25" s="131" t="s">
        <v>8</v>
      </c>
      <c r="F25" s="131" t="s">
        <v>8</v>
      </c>
      <c r="G25" s="116">
        <f>'Исходные данные'!C27</f>
        <v>9670</v>
      </c>
      <c r="H25" s="117">
        <f>'Исходные данные'!D27</f>
        <v>20730230</v>
      </c>
      <c r="I25" s="118">
        <f>'Расчет КРП'!G23</f>
        <v>2.3072890395860188</v>
      </c>
      <c r="J25" s="119" t="s">
        <v>8</v>
      </c>
      <c r="K25" s="120">
        <f t="shared" si="109"/>
        <v>0.55460712507762144</v>
      </c>
      <c r="L25" s="121">
        <f t="shared" si="237"/>
        <v>1076141.9165794705</v>
      </c>
      <c r="M25" s="122">
        <f t="shared" si="110"/>
        <v>0.58339773543407503</v>
      </c>
      <c r="N25" s="123" t="s">
        <v>8</v>
      </c>
      <c r="O25" s="124">
        <f t="shared" si="111"/>
        <v>-0.30879051741197511</v>
      </c>
      <c r="P25" s="29">
        <f t="shared" si="112"/>
        <v>0</v>
      </c>
      <c r="Q25" s="125">
        <f t="shared" si="113"/>
        <v>0</v>
      </c>
      <c r="R25" s="136" t="s">
        <v>8</v>
      </c>
      <c r="S25" s="123" t="s">
        <v>8</v>
      </c>
      <c r="T25" s="126">
        <f t="shared" si="114"/>
        <v>0.58339773543407503</v>
      </c>
      <c r="U25" s="124">
        <f t="shared" si="115"/>
        <v>-0.23296599395697848</v>
      </c>
      <c r="V25" s="46">
        <f t="shared" si="116"/>
        <v>0</v>
      </c>
      <c r="W25" s="125">
        <f t="shared" si="117"/>
        <v>0</v>
      </c>
      <c r="X25" s="115" t="s">
        <v>8</v>
      </c>
      <c r="Y25" s="123" t="s">
        <v>8</v>
      </c>
      <c r="Z25" s="126">
        <f t="shared" si="118"/>
        <v>0.58339773543407503</v>
      </c>
      <c r="AA25" s="124">
        <f t="shared" si="119"/>
        <v>-0.16853087108011738</v>
      </c>
      <c r="AB25" s="46">
        <f t="shared" si="120"/>
        <v>0</v>
      </c>
      <c r="AC25" s="125">
        <f t="shared" si="121"/>
        <v>0</v>
      </c>
      <c r="AD25" s="115" t="s">
        <v>8</v>
      </c>
      <c r="AE25" s="123" t="s">
        <v>8</v>
      </c>
      <c r="AF25" s="126">
        <f t="shared" si="122"/>
        <v>0.58339773543407503</v>
      </c>
      <c r="AG25" s="124">
        <f t="shared" si="123"/>
        <v>-0.11173112745447905</v>
      </c>
      <c r="AH25" s="46">
        <f t="shared" si="124"/>
        <v>0</v>
      </c>
      <c r="AI25" s="125">
        <f t="shared" si="125"/>
        <v>0</v>
      </c>
      <c r="AJ25" s="115" t="s">
        <v>8</v>
      </c>
      <c r="AK25" s="123" t="s">
        <v>8</v>
      </c>
      <c r="AL25" s="126">
        <f t="shared" si="126"/>
        <v>0.58339773543407503</v>
      </c>
      <c r="AM25" s="124">
        <f t="shared" si="127"/>
        <v>-5.9574708261418308E-2</v>
      </c>
      <c r="AN25" s="46">
        <f t="shared" si="128"/>
        <v>0</v>
      </c>
      <c r="AO25" s="125">
        <f t="shared" si="129"/>
        <v>0</v>
      </c>
      <c r="AP25" s="115" t="s">
        <v>8</v>
      </c>
      <c r="AQ25" s="123" t="s">
        <v>8</v>
      </c>
      <c r="AR25" s="126">
        <f t="shared" si="130"/>
        <v>0.58339773543407503</v>
      </c>
      <c r="AS25" s="124">
        <f t="shared" si="131"/>
        <v>-1.2737668006038483E-2</v>
      </c>
      <c r="AT25" s="46">
        <f t="shared" si="132"/>
        <v>0</v>
      </c>
      <c r="AU25" s="125">
        <f t="shared" si="133"/>
        <v>0</v>
      </c>
      <c r="AV25" s="115" t="s">
        <v>8</v>
      </c>
      <c r="AW25" s="123" t="s">
        <v>8</v>
      </c>
      <c r="AX25" s="126">
        <f t="shared" si="134"/>
        <v>0.58339773543407503</v>
      </c>
      <c r="AY25" s="124">
        <f t="shared" si="135"/>
        <v>2.8265250127811448E-2</v>
      </c>
      <c r="AZ25" s="46">
        <f t="shared" si="136"/>
        <v>1852576.7967397475</v>
      </c>
      <c r="BA25" s="125">
        <f t="shared" si="137"/>
        <v>1852576.7967397475</v>
      </c>
      <c r="BB25" s="115" t="s">
        <v>8</v>
      </c>
      <c r="BC25" s="123" t="s">
        <v>8</v>
      </c>
      <c r="BD25" s="126">
        <f t="shared" si="138"/>
        <v>0.63296073069391234</v>
      </c>
      <c r="BE25" s="124">
        <f t="shared" si="139"/>
        <v>1.6532660123707021E-2</v>
      </c>
      <c r="BF25" s="46">
        <f t="shared" si="140"/>
        <v>1163729.3070368201</v>
      </c>
      <c r="BG25" s="125">
        <f t="shared" si="141"/>
        <v>1163729.3070368201</v>
      </c>
      <c r="BH25" s="115" t="s">
        <v>8</v>
      </c>
      <c r="BI25" s="123" t="s">
        <v>8</v>
      </c>
      <c r="BJ25" s="126">
        <f t="shared" si="142"/>
        <v>0.66409461417442683</v>
      </c>
      <c r="BK25" s="124">
        <f t="shared" si="143"/>
        <v>2.2069059881138164E-2</v>
      </c>
      <c r="BL25" s="46">
        <f t="shared" si="144"/>
        <v>1642447.713926591</v>
      </c>
      <c r="BM25" s="125">
        <f t="shared" si="145"/>
        <v>1642447.713926591</v>
      </c>
      <c r="BN25" s="115" t="s">
        <v>8</v>
      </c>
      <c r="BO25" s="123" t="s">
        <v>8</v>
      </c>
      <c r="BP25" s="126">
        <f t="shared" si="146"/>
        <v>0.70803591172448477</v>
      </c>
      <c r="BQ25" s="124">
        <f t="shared" si="147"/>
        <v>1.284296858367262E-2</v>
      </c>
      <c r="BR25" s="46">
        <f t="shared" si="148"/>
        <v>1012160.9923085618</v>
      </c>
      <c r="BS25" s="127">
        <f t="shared" si="149"/>
        <v>1012160.9923085618</v>
      </c>
      <c r="BT25" s="115" t="s">
        <v>8</v>
      </c>
      <c r="BU25" s="123" t="s">
        <v>8</v>
      </c>
      <c r="BV25" s="126">
        <f t="shared" si="150"/>
        <v>0.73511480559396736</v>
      </c>
      <c r="BW25" s="124">
        <f t="shared" si="151"/>
        <v>1.8459402328344865E-2</v>
      </c>
      <c r="BX25" s="46">
        <f t="shared" si="152"/>
        <v>1520684.2684362808</v>
      </c>
      <c r="BY25" s="127">
        <f t="shared" si="153"/>
        <v>1520684.2684362808</v>
      </c>
      <c r="BZ25" s="115" t="s">
        <v>8</v>
      </c>
      <c r="CA25" s="123" t="s">
        <v>8</v>
      </c>
      <c r="CB25" s="126">
        <f t="shared" si="154"/>
        <v>0.77579849942023993</v>
      </c>
      <c r="CC25" s="124">
        <f t="shared" si="155"/>
        <v>7.9485629563363913E-3</v>
      </c>
      <c r="CD25" s="46">
        <f t="shared" si="156"/>
        <v>685891.82181810006</v>
      </c>
      <c r="CE25" s="127">
        <f t="shared" si="157"/>
        <v>179857.30413170435</v>
      </c>
      <c r="CF25" s="115" t="s">
        <v>8</v>
      </c>
      <c r="CG25" s="123" t="s">
        <v>8</v>
      </c>
      <c r="CH25" s="126">
        <f t="shared" si="158"/>
        <v>0.78061031976032758</v>
      </c>
      <c r="CI25" s="124">
        <f t="shared" si="159"/>
        <v>1.04096874909404E-2</v>
      </c>
      <c r="CJ25" s="46">
        <f t="shared" si="160"/>
        <v>906034.57144797093</v>
      </c>
      <c r="CK25" s="127">
        <f t="shared" si="161"/>
        <v>0</v>
      </c>
      <c r="CL25" s="115" t="s">
        <v>8</v>
      </c>
      <c r="CM25" s="123" t="s">
        <v>8</v>
      </c>
      <c r="CN25" s="126">
        <f t="shared" si="162"/>
        <v>0.78061031976032758</v>
      </c>
      <c r="CO25" s="124">
        <f t="shared" si="163"/>
        <v>1.04096874909404E-2</v>
      </c>
      <c r="CP25" s="46">
        <f t="shared" si="164"/>
        <v>906034.57144797093</v>
      </c>
      <c r="CQ25" s="127">
        <f t="shared" si="165"/>
        <v>0</v>
      </c>
      <c r="CR25" s="115" t="s">
        <v>8</v>
      </c>
      <c r="CS25" s="123" t="s">
        <v>8</v>
      </c>
      <c r="CT25" s="126">
        <f t="shared" si="166"/>
        <v>0.78061031976032758</v>
      </c>
      <c r="CU25" s="124">
        <f t="shared" si="167"/>
        <v>1.04096874909404E-2</v>
      </c>
      <c r="CV25" s="46">
        <f t="shared" si="168"/>
        <v>906034.57144797093</v>
      </c>
      <c r="CW25" s="127">
        <f t="shared" si="169"/>
        <v>0</v>
      </c>
      <c r="CX25" s="115" t="s">
        <v>8</v>
      </c>
      <c r="CY25" s="123" t="s">
        <v>8</v>
      </c>
      <c r="CZ25" s="126">
        <f t="shared" si="170"/>
        <v>0.78061031976032758</v>
      </c>
      <c r="DA25" s="124">
        <f t="shared" si="171"/>
        <v>1.04096874909404E-2</v>
      </c>
      <c r="DB25" s="46">
        <f t="shared" si="172"/>
        <v>906034.57144797093</v>
      </c>
      <c r="DC25" s="127">
        <f t="shared" si="173"/>
        <v>0</v>
      </c>
      <c r="DD25" s="115" t="s">
        <v>8</v>
      </c>
      <c r="DE25" s="123" t="s">
        <v>8</v>
      </c>
      <c r="DF25" s="126">
        <f t="shared" si="174"/>
        <v>0.78061031976032758</v>
      </c>
      <c r="DG25" s="124">
        <f t="shared" si="175"/>
        <v>1.04096874909404E-2</v>
      </c>
      <c r="DH25" s="46">
        <f t="shared" si="176"/>
        <v>906034.57144797093</v>
      </c>
      <c r="DI25" s="127">
        <f t="shared" si="177"/>
        <v>0</v>
      </c>
      <c r="DJ25" s="115" t="s">
        <v>8</v>
      </c>
      <c r="DK25" s="123" t="s">
        <v>8</v>
      </c>
      <c r="DL25" s="126">
        <f t="shared" si="178"/>
        <v>0.78061031976032758</v>
      </c>
      <c r="DM25" s="124">
        <f t="shared" si="179"/>
        <v>1.04096874909404E-2</v>
      </c>
      <c r="DN25" s="46">
        <f t="shared" si="180"/>
        <v>906034.57144797093</v>
      </c>
      <c r="DO25" s="127">
        <f t="shared" si="181"/>
        <v>0</v>
      </c>
      <c r="DP25" s="115" t="s">
        <v>8</v>
      </c>
      <c r="DQ25" s="123" t="s">
        <v>8</v>
      </c>
      <c r="DR25" s="126">
        <f t="shared" si="182"/>
        <v>0.78061031976032758</v>
      </c>
      <c r="DS25" s="124">
        <f t="shared" si="183"/>
        <v>1.04096874909404E-2</v>
      </c>
      <c r="DT25" s="46">
        <f t="shared" si="184"/>
        <v>906034.57144797093</v>
      </c>
      <c r="DU25" s="127">
        <f t="shared" si="185"/>
        <v>0</v>
      </c>
      <c r="DV25" s="115" t="s">
        <v>8</v>
      </c>
      <c r="DW25" s="123" t="s">
        <v>8</v>
      </c>
      <c r="DX25" s="30">
        <f t="shared" si="186"/>
        <v>0.78061031976032758</v>
      </c>
      <c r="DY25" s="124">
        <f t="shared" si="187"/>
        <v>1.04096874909404E-2</v>
      </c>
      <c r="DZ25" s="29">
        <f t="shared" si="188"/>
        <v>906034.57144797093</v>
      </c>
      <c r="EA25" s="125">
        <f t="shared" si="189"/>
        <v>0</v>
      </c>
      <c r="EB25" s="115" t="s">
        <v>8</v>
      </c>
      <c r="EC25" s="123" t="s">
        <v>8</v>
      </c>
      <c r="ED25" s="30">
        <f t="shared" si="190"/>
        <v>0.78061031976032758</v>
      </c>
      <c r="EE25" s="124">
        <f t="shared" si="191"/>
        <v>1.04096874909404E-2</v>
      </c>
      <c r="EF25" s="29">
        <f t="shared" si="192"/>
        <v>906034.57144797093</v>
      </c>
      <c r="EG25" s="125">
        <f t="shared" si="193"/>
        <v>0</v>
      </c>
      <c r="EH25" s="115" t="s">
        <v>8</v>
      </c>
      <c r="EI25" s="123" t="s">
        <v>8</v>
      </c>
      <c r="EJ25" s="30">
        <f t="shared" si="194"/>
        <v>0.78061031976032758</v>
      </c>
      <c r="EK25" s="124">
        <f t="shared" si="195"/>
        <v>1.04096874909404E-2</v>
      </c>
      <c r="EL25" s="29">
        <f t="shared" si="196"/>
        <v>906034.57144797093</v>
      </c>
      <c r="EM25" s="125">
        <f t="shared" si="197"/>
        <v>0</v>
      </c>
      <c r="EN25" s="115" t="s">
        <v>8</v>
      </c>
      <c r="EO25" s="123" t="s">
        <v>8</v>
      </c>
      <c r="EP25" s="30">
        <f t="shared" si="198"/>
        <v>0.78061031976032758</v>
      </c>
      <c r="EQ25" s="124">
        <f t="shared" si="199"/>
        <v>1.04096874909404E-2</v>
      </c>
      <c r="ER25" s="29">
        <f t="shared" si="200"/>
        <v>906034.57144797093</v>
      </c>
      <c r="ES25" s="125">
        <f t="shared" si="201"/>
        <v>0</v>
      </c>
      <c r="ET25" s="115" t="s">
        <v>8</v>
      </c>
      <c r="EU25" s="123" t="s">
        <v>8</v>
      </c>
      <c r="EV25" s="30">
        <f t="shared" si="202"/>
        <v>0.78061031976032758</v>
      </c>
      <c r="EW25" s="124">
        <f t="shared" si="203"/>
        <v>1.04096874909404E-2</v>
      </c>
      <c r="EX25" s="29">
        <f t="shared" si="204"/>
        <v>906034.57144797093</v>
      </c>
      <c r="EY25" s="125">
        <f t="shared" si="205"/>
        <v>0</v>
      </c>
      <c r="EZ25" s="115" t="s">
        <v>8</v>
      </c>
      <c r="FA25" s="123" t="s">
        <v>8</v>
      </c>
      <c r="FB25" s="30">
        <f t="shared" si="206"/>
        <v>0.78061031976032758</v>
      </c>
      <c r="FC25" s="124">
        <f t="shared" si="207"/>
        <v>1.04096874909404E-2</v>
      </c>
      <c r="FD25" s="29">
        <f t="shared" si="208"/>
        <v>906034.57144797093</v>
      </c>
      <c r="FE25" s="125">
        <f t="shared" si="209"/>
        <v>0</v>
      </c>
      <c r="FF25" s="115" t="s">
        <v>8</v>
      </c>
      <c r="FG25" s="123" t="s">
        <v>8</v>
      </c>
      <c r="FH25" s="30">
        <f t="shared" si="210"/>
        <v>0.78061031976032758</v>
      </c>
      <c r="FI25" s="124">
        <f t="shared" si="211"/>
        <v>1.04096874909404E-2</v>
      </c>
      <c r="FJ25" s="29">
        <f t="shared" si="212"/>
        <v>906034.57144797093</v>
      </c>
      <c r="FK25" s="125">
        <f t="shared" si="213"/>
        <v>0</v>
      </c>
      <c r="FL25" s="115" t="s">
        <v>8</v>
      </c>
      <c r="FM25" s="123" t="s">
        <v>8</v>
      </c>
      <c r="FN25" s="30">
        <f t="shared" si="214"/>
        <v>0.78061031976032758</v>
      </c>
      <c r="FO25" s="124">
        <f t="shared" si="215"/>
        <v>1.04096874909404E-2</v>
      </c>
      <c r="FP25" s="29">
        <f t="shared" si="216"/>
        <v>906034.57144797093</v>
      </c>
      <c r="FQ25" s="125">
        <f t="shared" si="217"/>
        <v>0</v>
      </c>
      <c r="FR25" s="115" t="s">
        <v>8</v>
      </c>
      <c r="FS25" s="123" t="s">
        <v>8</v>
      </c>
      <c r="FT25" s="30">
        <f t="shared" si="218"/>
        <v>0.78061031976032758</v>
      </c>
      <c r="FU25" s="124">
        <f t="shared" si="219"/>
        <v>1.04096874909404E-2</v>
      </c>
      <c r="FV25" s="29">
        <f t="shared" si="220"/>
        <v>906034.57144797093</v>
      </c>
      <c r="FW25" s="125">
        <f t="shared" si="221"/>
        <v>0</v>
      </c>
      <c r="FX25" s="115" t="s">
        <v>8</v>
      </c>
      <c r="FY25" s="123" t="s">
        <v>8</v>
      </c>
      <c r="FZ25" s="30">
        <f t="shared" si="222"/>
        <v>0.78061031976032758</v>
      </c>
      <c r="GA25" s="124">
        <f t="shared" si="223"/>
        <v>1.04096874909404E-2</v>
      </c>
      <c r="GB25" s="29">
        <f t="shared" si="224"/>
        <v>906034.57144797093</v>
      </c>
      <c r="GC25" s="125">
        <f t="shared" si="225"/>
        <v>0</v>
      </c>
      <c r="GD25" s="115" t="s">
        <v>8</v>
      </c>
      <c r="GE25" s="123" t="s">
        <v>8</v>
      </c>
      <c r="GF25" s="30">
        <f t="shared" si="226"/>
        <v>0.78061031976032758</v>
      </c>
      <c r="GG25" s="124">
        <f t="shared" si="227"/>
        <v>1.04096874909404E-2</v>
      </c>
      <c r="GH25" s="29">
        <f t="shared" si="228"/>
        <v>906034.57144797093</v>
      </c>
      <c r="GI25" s="127">
        <f t="shared" si="229"/>
        <v>0</v>
      </c>
      <c r="GJ25" s="115" t="s">
        <v>8</v>
      </c>
      <c r="GK25" s="123" t="s">
        <v>8</v>
      </c>
      <c r="GL25" s="30">
        <f t="shared" si="230"/>
        <v>0.78061031976032758</v>
      </c>
      <c r="GM25" s="124">
        <f t="shared" si="231"/>
        <v>1.04096874909404E-2</v>
      </c>
      <c r="GN25" s="29">
        <f t="shared" si="232"/>
        <v>906034.57144797093</v>
      </c>
      <c r="GO25" s="127">
        <f t="shared" si="233"/>
        <v>0</v>
      </c>
      <c r="GP25" s="215">
        <f t="shared" si="234"/>
        <v>7371456.3825797057</v>
      </c>
      <c r="GQ25" s="238">
        <f t="shared" si="235"/>
        <v>8447598.2991591766</v>
      </c>
      <c r="GR25" s="196">
        <f t="shared" si="236"/>
        <v>0.78061031976032758</v>
      </c>
      <c r="GS25" s="242">
        <v>8447598.3000000007</v>
      </c>
    </row>
    <row r="26" spans="1:201" s="24" customFormat="1" ht="16.5" thickBot="1" x14ac:dyDescent="0.3">
      <c r="A26" s="90" t="s">
        <v>6</v>
      </c>
      <c r="B26" s="110">
        <v>42542661</v>
      </c>
      <c r="C26" s="108">
        <v>5</v>
      </c>
      <c r="D26" s="74">
        <f>B26*C26/100</f>
        <v>2127133.0499999998</v>
      </c>
      <c r="E26" s="97">
        <f>100-C26</f>
        <v>95</v>
      </c>
      <c r="F26" s="74">
        <f>B26-D26</f>
        <v>40415527.950000003</v>
      </c>
      <c r="G26" s="96">
        <f>SUM(G9:G25)</f>
        <v>19114</v>
      </c>
      <c r="H26" s="96">
        <f>SUM(H9:H25)</f>
        <v>32021508</v>
      </c>
      <c r="I26" s="38" t="s">
        <v>8</v>
      </c>
      <c r="J26" s="149">
        <f>H26/G26</f>
        <v>1675.2907816260333</v>
      </c>
      <c r="K26" s="107" t="s">
        <v>8</v>
      </c>
      <c r="L26" s="71">
        <f>SUM(L9:L25)</f>
        <v>2127133.0499999998</v>
      </c>
      <c r="M26" s="67" t="s">
        <v>8</v>
      </c>
      <c r="N26" s="39">
        <f>(SUMIF(M9:M25,"&lt;1")+1)/(COUNTIFS(M9:M25,"&lt;1")+1)</f>
        <v>0.27460721802209992</v>
      </c>
      <c r="O26" s="40" t="s">
        <v>8</v>
      </c>
      <c r="P26" s="37">
        <f>SUM(P9:P25)</f>
        <v>4934730.7818155196</v>
      </c>
      <c r="Q26" s="37">
        <f>SUM(Q9:Q25)</f>
        <v>4934730.7818155196</v>
      </c>
      <c r="R26" s="79">
        <f>F26-Q26</f>
        <v>35480797.168184482</v>
      </c>
      <c r="S26" s="39">
        <f>(SUMIF(T9:T25,"&lt;1")+1)/(COUNTIFS(T9:T25,"&lt;1")+1)</f>
        <v>0.35043174147709655</v>
      </c>
      <c r="T26" s="40" t="s">
        <v>8</v>
      </c>
      <c r="U26" s="40" t="s">
        <v>8</v>
      </c>
      <c r="V26" s="37">
        <f>SUM(V9:V25)</f>
        <v>4166786.8543874077</v>
      </c>
      <c r="W26" s="37">
        <f>SUM(W9:W25)</f>
        <v>4166786.8543874077</v>
      </c>
      <c r="X26" s="79">
        <f>R26-W26</f>
        <v>31314010.313797075</v>
      </c>
      <c r="Y26" s="39">
        <f>(SUMIF(Z9:Z25,"&lt;1")+1)/(COUNTIFS(Z9:Z25,"&lt;1")+1)</f>
        <v>0.41486686435395764</v>
      </c>
      <c r="Z26" s="40" t="s">
        <v>8</v>
      </c>
      <c r="AA26" s="40" t="s">
        <v>8</v>
      </c>
      <c r="AB26" s="37">
        <f>SUM(AB9:AB25)</f>
        <v>3717433.7755986075</v>
      </c>
      <c r="AC26" s="37">
        <f>SUM(AC9:AC25)</f>
        <v>3717433.7755986075</v>
      </c>
      <c r="AD26" s="79">
        <f>X26-AC26</f>
        <v>27596576.538198467</v>
      </c>
      <c r="AE26" s="39">
        <f>(SUMIF(AF9:AF25,"&lt;1")+1)/(COUNTIFS(AF9:AF25,"&lt;1")+1)</f>
        <v>0.47166660797959598</v>
      </c>
      <c r="AF26" s="40" t="s">
        <v>8</v>
      </c>
      <c r="AG26" s="40" t="s">
        <v>8</v>
      </c>
      <c r="AH26" s="37">
        <f>SUM(AH9:AH25)</f>
        <v>3421923.4634668813</v>
      </c>
      <c r="AI26" s="37">
        <f>SUM(AI9:AI25)</f>
        <v>3421923.4634668813</v>
      </c>
      <c r="AJ26" s="79">
        <f>AD26-AI26</f>
        <v>24174653.074731585</v>
      </c>
      <c r="AK26" s="39">
        <f>(SUMIF(AL9:AL25,"&lt;1")+1)/(COUNTIFS(AL9:AL25,"&lt;1")+1)</f>
        <v>0.52382302717265672</v>
      </c>
      <c r="AL26" s="40" t="s">
        <v>8</v>
      </c>
      <c r="AM26" s="40" t="s">
        <v>8</v>
      </c>
      <c r="AN26" s="37">
        <f>SUM(AN9:AN25)</f>
        <v>3070679.4068077821</v>
      </c>
      <c r="AO26" s="37">
        <f>SUM(AO9:AO25)</f>
        <v>3070679.4068077821</v>
      </c>
      <c r="AP26" s="79">
        <f>AJ26-AO26</f>
        <v>21103973.667923801</v>
      </c>
      <c r="AQ26" s="39">
        <f>(SUMIF(AR9:AR25,"&lt;1")+1)/(COUNTIFS(AR9:AR25,"&lt;1")+1)</f>
        <v>0.57066006742803654</v>
      </c>
      <c r="AR26" s="40" t="s">
        <v>8</v>
      </c>
      <c r="AS26" s="40" t="s">
        <v>8</v>
      </c>
      <c r="AT26" s="37">
        <f>SUM(AT9:AT25)</f>
        <v>2689382.0479324367</v>
      </c>
      <c r="AU26" s="74">
        <f>SUM(AU9:AU25)</f>
        <v>2689382.0479324367</v>
      </c>
      <c r="AV26" s="79">
        <f>AP26-AU26</f>
        <v>18414591.619991362</v>
      </c>
      <c r="AW26" s="39">
        <f>(SUMIF(AX9:AX25,"&lt;1")+1)/(COUNTIFS(AX9:AX25,"&lt;1")+1)</f>
        <v>0.61166298556188647</v>
      </c>
      <c r="AX26" s="40" t="s">
        <v>8</v>
      </c>
      <c r="AY26" s="40" t="s">
        <v>8</v>
      </c>
      <c r="AZ26" s="37">
        <f>SUM(AZ9:AZ25)</f>
        <v>4152509.004309888</v>
      </c>
      <c r="BA26" s="37">
        <f>SUM(BA9:BA25)</f>
        <v>4152509.004309888</v>
      </c>
      <c r="BB26" s="79">
        <f>AV26-BA26</f>
        <v>14262082.615681473</v>
      </c>
      <c r="BC26" s="39">
        <f>(SUMIF(BD9:BD25,"&lt;1")+1)/(COUNTIFS(BD9:BD25,"&lt;1")+1)</f>
        <v>0.64949339081761936</v>
      </c>
      <c r="BD26" s="40" t="s">
        <v>8</v>
      </c>
      <c r="BE26" s="40" t="s">
        <v>8</v>
      </c>
      <c r="BF26" s="37">
        <f>SUM(BF9:BF25)</f>
        <v>3455346.8098405311</v>
      </c>
      <c r="BG26" s="37">
        <f>SUM(BG9:BG25)</f>
        <v>3455346.8098405311</v>
      </c>
      <c r="BH26" s="79">
        <f>BB26-BG26</f>
        <v>10806735.805840943</v>
      </c>
      <c r="BI26" s="39">
        <f>(SUMIF(BJ9:BJ25,"&lt;1")+1)/(COUNTIFS(BJ9:BJ25,"&lt;1")+1)</f>
        <v>0.686163674055565</v>
      </c>
      <c r="BJ26" s="40" t="s">
        <v>8</v>
      </c>
      <c r="BK26" s="40" t="s">
        <v>8</v>
      </c>
      <c r="BL26" s="37">
        <f>SUM(BL9:BL25)</f>
        <v>3758656.3316806848</v>
      </c>
      <c r="BM26" s="37">
        <f>SUM(BM9:BM25)</f>
        <v>3758656.3316806848</v>
      </c>
      <c r="BN26" s="79">
        <f>BH26-BM26</f>
        <v>7048079.4741602577</v>
      </c>
      <c r="BO26" s="39">
        <f>(SUMIF(BP9:BP25,"&lt;1")+1)/(COUNTIFS(BP9:BP25,"&lt;1")+1)</f>
        <v>0.72087888030815739</v>
      </c>
      <c r="BP26" s="40" t="s">
        <v>8</v>
      </c>
      <c r="BQ26" s="40" t="s">
        <v>8</v>
      </c>
      <c r="BR26" s="37">
        <f>SUM(BR9:BR25)</f>
        <v>3057876.2047370598</v>
      </c>
      <c r="BS26" s="37">
        <f>SUM(BS9:BS25)</f>
        <v>3057876.2047370598</v>
      </c>
      <c r="BT26" s="79">
        <f>BN26-BS26</f>
        <v>3990203.269423198</v>
      </c>
      <c r="BU26" s="39">
        <f>(SUMIF(BV9:BV25,"&lt;1")+1)/(COUNTIFS(BV9:BV25,"&lt;1")+1)</f>
        <v>0.75357420792231222</v>
      </c>
      <c r="BV26" s="40" t="s">
        <v>8</v>
      </c>
      <c r="BW26" s="40" t="s">
        <v>8</v>
      </c>
      <c r="BX26" s="37">
        <f>SUM(BX9:BX25)</f>
        <v>3350826.1895503737</v>
      </c>
      <c r="BY26" s="37">
        <f>SUM(BY9:BY25)</f>
        <v>3350826.1895503737</v>
      </c>
      <c r="BZ26" s="79">
        <f>BT26-BY26</f>
        <v>639377.07987282425</v>
      </c>
      <c r="CA26" s="39">
        <f>(SUMIF(CB9:CB25,"&lt;1")+1)/(COUNTIFS(CB9:CB25,"&lt;1")+1)</f>
        <v>0.78374706237657632</v>
      </c>
      <c r="CB26" s="40" t="s">
        <v>8</v>
      </c>
      <c r="CC26" s="40" t="s">
        <v>8</v>
      </c>
      <c r="CD26" s="37">
        <f>SUM(CD9:CD25)</f>
        <v>2438285.796953653</v>
      </c>
      <c r="CE26" s="37">
        <f>SUM(CE9:CE25)</f>
        <v>639377.07987282425</v>
      </c>
      <c r="CF26" s="79">
        <f>BZ26-CE26</f>
        <v>0</v>
      </c>
      <c r="CG26" s="39">
        <f>(SUMIF(CH9:CH25,"&lt;1")+1)/(COUNTIFS(CH9:CH25,"&lt;1")+1)</f>
        <v>0.79102000725126798</v>
      </c>
      <c r="CH26" s="40" t="s">
        <v>8</v>
      </c>
      <c r="CI26" s="40" t="s">
        <v>8</v>
      </c>
      <c r="CJ26" s="37">
        <f>SUM(CJ9:CJ25)</f>
        <v>2590762.7143287673</v>
      </c>
      <c r="CK26" s="37">
        <f>SUM(CK9:CK25)</f>
        <v>0</v>
      </c>
      <c r="CL26" s="79">
        <f>CF26-CK26</f>
        <v>0</v>
      </c>
      <c r="CM26" s="39">
        <f>(SUMIF(CN9:CN25,"&lt;1")+1)/(COUNTIFS(CN9:CN25,"&lt;1")+1)</f>
        <v>0.79102000725126798</v>
      </c>
      <c r="CN26" s="40" t="s">
        <v>8</v>
      </c>
      <c r="CO26" s="40" t="s">
        <v>8</v>
      </c>
      <c r="CP26" s="37">
        <f>SUM(CP9:CP25)</f>
        <v>2590762.7143287673</v>
      </c>
      <c r="CQ26" s="37">
        <f>SUM(CQ9:CQ25)</f>
        <v>0</v>
      </c>
      <c r="CR26" s="79">
        <f>CL26-CQ26</f>
        <v>0</v>
      </c>
      <c r="CS26" s="39">
        <f>(SUMIF(CT9:CT25,"&lt;1")+1)/(COUNTIFS(CT9:CT25,"&lt;1")+1)</f>
        <v>0.79102000725126798</v>
      </c>
      <c r="CT26" s="40" t="s">
        <v>8</v>
      </c>
      <c r="CU26" s="40" t="s">
        <v>8</v>
      </c>
      <c r="CV26" s="37">
        <f>SUM(CV9:CV25)</f>
        <v>2590762.7143287673</v>
      </c>
      <c r="CW26" s="37">
        <f>SUM(CW9:CW25)</f>
        <v>0</v>
      </c>
      <c r="CX26" s="79">
        <f>CR26-CW26</f>
        <v>0</v>
      </c>
      <c r="CY26" s="39">
        <f>(SUMIF(CZ9:CZ25,"&lt;1")+1)/(COUNTIFS(CZ9:CZ25,"&lt;1")+1)</f>
        <v>0.79102000725126798</v>
      </c>
      <c r="CZ26" s="40" t="s">
        <v>8</v>
      </c>
      <c r="DA26" s="40" t="s">
        <v>8</v>
      </c>
      <c r="DB26" s="37">
        <f>SUM(DB9:DB25)</f>
        <v>2590762.7143287673</v>
      </c>
      <c r="DC26" s="37">
        <f>SUM(DC9:DC25)</f>
        <v>0</v>
      </c>
      <c r="DD26" s="79">
        <f>CX26-DC26</f>
        <v>0</v>
      </c>
      <c r="DE26" s="39">
        <f>(SUMIF(DF9:DF25,"&lt;1")+1)/(COUNTIFS(DF9:DF25,"&lt;1")+1)</f>
        <v>0.79102000725126798</v>
      </c>
      <c r="DF26" s="40" t="s">
        <v>8</v>
      </c>
      <c r="DG26" s="40" t="s">
        <v>8</v>
      </c>
      <c r="DH26" s="37">
        <f>SUM(DH9:DH25)</f>
        <v>2590762.7143287673</v>
      </c>
      <c r="DI26" s="37">
        <f>SUM(DI9:DI25)</f>
        <v>0</v>
      </c>
      <c r="DJ26" s="79">
        <f>DD26-DI26</f>
        <v>0</v>
      </c>
      <c r="DK26" s="39">
        <f>(SUMIF(DL9:DL25,"&lt;1")+1)/(COUNTIFS(DL9:DL25,"&lt;1")+1)</f>
        <v>0.79102000725126798</v>
      </c>
      <c r="DL26" s="40" t="s">
        <v>8</v>
      </c>
      <c r="DM26" s="40" t="s">
        <v>8</v>
      </c>
      <c r="DN26" s="37">
        <f>SUM(DN9:DN25)</f>
        <v>2590762.7143287673</v>
      </c>
      <c r="DO26" s="37">
        <f>SUM(DO9:DO25)</f>
        <v>0</v>
      </c>
      <c r="DP26" s="79">
        <f>DJ26-DO26</f>
        <v>0</v>
      </c>
      <c r="DQ26" s="39">
        <f>(SUMIF(DR9:DR25,"&lt;1")+1)/(COUNTIFS(DR9:DR25,"&lt;1")+1)</f>
        <v>0.79102000725126798</v>
      </c>
      <c r="DR26" s="40" t="s">
        <v>8</v>
      </c>
      <c r="DS26" s="40" t="s">
        <v>8</v>
      </c>
      <c r="DT26" s="37">
        <f>SUM(DT9:DT25)</f>
        <v>2590762.7143287673</v>
      </c>
      <c r="DU26" s="37">
        <f>SUM(DU9:DU25)</f>
        <v>0</v>
      </c>
      <c r="DV26" s="79">
        <f>DP26-DU26</f>
        <v>0</v>
      </c>
      <c r="DW26" s="39">
        <f>(SUMIF(DX9:DX25,"&lt;1")+1)/(COUNTIFS(DX9:DX25,"&lt;1")+1)</f>
        <v>0.79102000725126798</v>
      </c>
      <c r="DX26" s="40" t="s">
        <v>8</v>
      </c>
      <c r="DY26" s="40" t="s">
        <v>8</v>
      </c>
      <c r="DZ26" s="128">
        <f>SUM(DZ9:DZ25)</f>
        <v>2590762.7143287673</v>
      </c>
      <c r="EA26" s="37">
        <f>SUM(EA9:EA25)</f>
        <v>0</v>
      </c>
      <c r="EB26" s="79">
        <f>DV26-EA26</f>
        <v>0</v>
      </c>
      <c r="EC26" s="39">
        <f>(SUMIF(ED9:ED25,"&lt;1")+1)/(COUNTIFS(ED9:ED25,"&lt;1")+1)</f>
        <v>0.79102000725126798</v>
      </c>
      <c r="ED26" s="40" t="s">
        <v>8</v>
      </c>
      <c r="EE26" s="40" t="s">
        <v>8</v>
      </c>
      <c r="EF26" s="128">
        <f>SUM(EF9:EF25)</f>
        <v>2590762.7143287673</v>
      </c>
      <c r="EG26" s="37">
        <f>SUM(EG9:EG25)</f>
        <v>0</v>
      </c>
      <c r="EH26" s="79">
        <f>EB26-EG26</f>
        <v>0</v>
      </c>
      <c r="EI26" s="39">
        <f>(SUMIF(EJ9:EJ25,"&lt;1")+1)/(COUNTIFS(EJ9:EJ25,"&lt;1")+1)</f>
        <v>0.79102000725126798</v>
      </c>
      <c r="EJ26" s="40" t="s">
        <v>8</v>
      </c>
      <c r="EK26" s="40" t="s">
        <v>8</v>
      </c>
      <c r="EL26" s="128">
        <f>SUM(EL9:EL25)</f>
        <v>2590762.7143287673</v>
      </c>
      <c r="EM26" s="37">
        <f>SUM(EM9:EM25)</f>
        <v>0</v>
      </c>
      <c r="EN26" s="79">
        <f>EH26-EM26</f>
        <v>0</v>
      </c>
      <c r="EO26" s="39">
        <f>(SUMIF(EP9:EP25,"&lt;1")+1)/(COUNTIFS(EP9:EP25,"&lt;1")+1)</f>
        <v>0.79102000725126798</v>
      </c>
      <c r="EP26" s="40" t="s">
        <v>8</v>
      </c>
      <c r="EQ26" s="40" t="s">
        <v>8</v>
      </c>
      <c r="ER26" s="128">
        <f>SUM(ER9:ER25)</f>
        <v>2590762.7143287673</v>
      </c>
      <c r="ES26" s="37">
        <f>SUM(ES9:ES25)</f>
        <v>0</v>
      </c>
      <c r="ET26" s="79">
        <f>EN26-ES26</f>
        <v>0</v>
      </c>
      <c r="EU26" s="39">
        <f>(SUMIF(EV9:EV25,"&lt;1")+1)/(COUNTIFS(EV9:EV25,"&lt;1")+1)</f>
        <v>0.79102000725126798</v>
      </c>
      <c r="EV26" s="40" t="s">
        <v>8</v>
      </c>
      <c r="EW26" s="40" t="s">
        <v>8</v>
      </c>
      <c r="EX26" s="128">
        <f>SUM(EX9:EX25)</f>
        <v>2590762.7143287673</v>
      </c>
      <c r="EY26" s="37">
        <f>SUM(EY9:EY25)</f>
        <v>0</v>
      </c>
      <c r="EZ26" s="79">
        <f>ET26-EY26</f>
        <v>0</v>
      </c>
      <c r="FA26" s="39">
        <f>(SUMIF(FB9:FB25,"&lt;1")+1)/(COUNTIFS(FB9:FB25,"&lt;1")+1)</f>
        <v>0.79102000725126798</v>
      </c>
      <c r="FB26" s="40" t="s">
        <v>8</v>
      </c>
      <c r="FC26" s="40" t="s">
        <v>8</v>
      </c>
      <c r="FD26" s="128">
        <f>SUM(FD9:FD25)</f>
        <v>2590762.7143287673</v>
      </c>
      <c r="FE26" s="37">
        <f>SUM(FE9:FE25)</f>
        <v>0</v>
      </c>
      <c r="FF26" s="79">
        <f>EZ26-FE26</f>
        <v>0</v>
      </c>
      <c r="FG26" s="39">
        <f>(SUMIF(FH9:FH25,"&lt;1")+1)/(COUNTIFS(FH9:FH25,"&lt;1")+1)</f>
        <v>0.79102000725126798</v>
      </c>
      <c r="FH26" s="40" t="s">
        <v>8</v>
      </c>
      <c r="FI26" s="40" t="s">
        <v>8</v>
      </c>
      <c r="FJ26" s="128">
        <f>SUM(FJ9:FJ25)</f>
        <v>2590762.7143287673</v>
      </c>
      <c r="FK26" s="37">
        <f>SUM(FK9:FK25)</f>
        <v>0</v>
      </c>
      <c r="FL26" s="79">
        <f>FF26-FK26</f>
        <v>0</v>
      </c>
      <c r="FM26" s="39">
        <f>(SUMIF(FN9:FN25,"&lt;1")+1)/(COUNTIFS(FN9:FN25,"&lt;1")+1)</f>
        <v>0.79102000725126798</v>
      </c>
      <c r="FN26" s="40" t="s">
        <v>8</v>
      </c>
      <c r="FO26" s="40" t="s">
        <v>8</v>
      </c>
      <c r="FP26" s="128">
        <f>SUM(FP9:FP25)</f>
        <v>2590762.7143287673</v>
      </c>
      <c r="FQ26" s="37">
        <f>SUM(FQ9:FQ25)</f>
        <v>0</v>
      </c>
      <c r="FR26" s="79">
        <f>FL26-FQ26</f>
        <v>0</v>
      </c>
      <c r="FS26" s="39">
        <f>(SUMIF(FT9:FT25,"&lt;1")+1)/(COUNTIFS(FT9:FT25,"&lt;1")+1)</f>
        <v>0.79102000725126798</v>
      </c>
      <c r="FT26" s="40" t="s">
        <v>8</v>
      </c>
      <c r="FU26" s="40" t="s">
        <v>8</v>
      </c>
      <c r="FV26" s="128">
        <f>SUM(FV9:FV25)</f>
        <v>2590762.7143287673</v>
      </c>
      <c r="FW26" s="37">
        <f>SUM(FW9:FW25)</f>
        <v>0</v>
      </c>
      <c r="FX26" s="79">
        <f>FR26-FW26</f>
        <v>0</v>
      </c>
      <c r="FY26" s="39">
        <f>(SUMIF(FZ9:FZ25,"&lt;1")+1)/(COUNTIFS(FZ9:FZ25,"&lt;1")+1)</f>
        <v>0.79102000725126798</v>
      </c>
      <c r="FZ26" s="40" t="s">
        <v>8</v>
      </c>
      <c r="GA26" s="40" t="s">
        <v>8</v>
      </c>
      <c r="GB26" s="128">
        <f>SUM(GB9:GB25)</f>
        <v>2590762.7143287673</v>
      </c>
      <c r="GC26" s="37">
        <f>SUM(GC9:GC25)</f>
        <v>0</v>
      </c>
      <c r="GD26" s="79">
        <f>FX26-GC26</f>
        <v>0</v>
      </c>
      <c r="GE26" s="39">
        <f>(SUMIF(GF9:GF25,"&lt;1")+1)/(COUNTIFS(GF9:GF25,"&lt;1")+1)</f>
        <v>0.79102000725126798</v>
      </c>
      <c r="GF26" s="40" t="s">
        <v>8</v>
      </c>
      <c r="GG26" s="40" t="s">
        <v>8</v>
      </c>
      <c r="GH26" s="128">
        <f>SUM(GH9:GH25)</f>
        <v>2590762.7143287673</v>
      </c>
      <c r="GI26" s="37">
        <f>SUM(GI9:GI25)</f>
        <v>0</v>
      </c>
      <c r="GJ26" s="79">
        <f>GD26-GI26</f>
        <v>0</v>
      </c>
      <c r="GK26" s="39">
        <f>(SUMIF(GL9:GL25,"&lt;1")+1)/(COUNTIFS(GL9:GL25,"&lt;1")+1)</f>
        <v>0.79102000725126798</v>
      </c>
      <c r="GL26" s="40" t="s">
        <v>8</v>
      </c>
      <c r="GM26" s="40" t="s">
        <v>8</v>
      </c>
      <c r="GN26" s="128">
        <f>SUM(GN9:GN25)</f>
        <v>2590762.7143287673</v>
      </c>
      <c r="GO26" s="37">
        <f>SUM(GO9:GO25)</f>
        <v>0</v>
      </c>
      <c r="GP26" s="214">
        <f t="shared" si="234"/>
        <v>40415527.949999996</v>
      </c>
      <c r="GQ26" s="239">
        <f t="shared" si="235"/>
        <v>42542660.999999993</v>
      </c>
      <c r="GR26" s="197" t="s">
        <v>8</v>
      </c>
      <c r="GS26" s="157">
        <f>SUM(GS9:GS25)</f>
        <v>42542661</v>
      </c>
    </row>
    <row r="28" spans="1:201" x14ac:dyDescent="0.2">
      <c r="P28" s="19"/>
    </row>
    <row r="30" spans="1:201" x14ac:dyDescent="0.2">
      <c r="GP30" s="114"/>
      <c r="GQ30" s="114"/>
      <c r="GS30" s="114"/>
    </row>
    <row r="31" spans="1:201" x14ac:dyDescent="0.2">
      <c r="M31" s="18"/>
      <c r="GR31" s="19"/>
    </row>
    <row r="34" spans="200:200" x14ac:dyDescent="0.2">
      <c r="GR34" s="19"/>
    </row>
    <row r="38" spans="200:200" x14ac:dyDescent="0.2">
      <c r="GR38" s="19"/>
    </row>
    <row r="40" spans="200:200" x14ac:dyDescent="0.2">
      <c r="GR40" s="19"/>
    </row>
  </sheetData>
  <protectedRanges>
    <protectedRange sqref="A9:A25" name="Диапазон3_1_1"/>
    <protectedRange sqref="A9:A25" name="Диапазон2_1_1"/>
  </protectedRanges>
  <autoFilter ref="A8:GR26" xr:uid="{00000000-0001-0000-0200-000000000000}"/>
  <mergeCells count="51">
    <mergeCell ref="GP3:GP5"/>
    <mergeCell ref="GR3:GR5"/>
    <mergeCell ref="GQ3:GQ5"/>
    <mergeCell ref="GJ4:GO4"/>
    <mergeCell ref="GD4:GI4"/>
    <mergeCell ref="FR4:FW4"/>
    <mergeCell ref="FX4:GC4"/>
    <mergeCell ref="ET4:EY4"/>
    <mergeCell ref="EZ4:FE4"/>
    <mergeCell ref="EN4:ES4"/>
    <mergeCell ref="FF4:FK4"/>
    <mergeCell ref="FL4:FQ4"/>
    <mergeCell ref="A3:A6"/>
    <mergeCell ref="B3:B5"/>
    <mergeCell ref="C3:F3"/>
    <mergeCell ref="C5:D5"/>
    <mergeCell ref="E5:F5"/>
    <mergeCell ref="C4:D4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  <mergeCell ref="BH4:BM4"/>
    <mergeCell ref="M4:Q4"/>
    <mergeCell ref="L4:L5"/>
    <mergeCell ref="CR4:CW4"/>
    <mergeCell ref="EB4:EG4"/>
    <mergeCell ref="EH4:EM4"/>
    <mergeCell ref="DV4:EA4"/>
    <mergeCell ref="M3:BS3"/>
    <mergeCell ref="GS3:GS5"/>
    <mergeCell ref="B1:L1"/>
    <mergeCell ref="CX4:DC4"/>
    <mergeCell ref="DD4:DI4"/>
    <mergeCell ref="DJ4:DO4"/>
    <mergeCell ref="DP4:DU4"/>
    <mergeCell ref="E4:F4"/>
    <mergeCell ref="G4:G5"/>
    <mergeCell ref="H4:H5"/>
    <mergeCell ref="J4:J5"/>
    <mergeCell ref="G3:J3"/>
    <mergeCell ref="I4:I5"/>
    <mergeCell ref="BT4:BY4"/>
    <mergeCell ref="BZ4:CE4"/>
    <mergeCell ref="CF4:CK4"/>
    <mergeCell ref="CL4:CQ4"/>
  </mergeCells>
  <printOptions horizontalCentered="1"/>
  <pageMargins left="0.27559055118110237" right="0.15748031496062992" top="0.39370078740157483" bottom="0.15748031496062992" header="0.74803149606299213" footer="0.23622047244094491"/>
  <pageSetup paperSize="9" scale="60" firstPageNumber="0" fitToWidth="12" pageOrder="overThenDown" orientation="landscape" horizontalDpi="300" verticalDpi="300" r:id="rId1"/>
  <headerFooter alignWithMargins="0"/>
  <colBreaks count="7" manualBreakCount="7">
    <brk id="12" max="1048575" man="1"/>
    <brk id="23" max="1048575" man="1"/>
    <brk id="35" max="1048575" man="1"/>
    <brk id="47" max="1048575" man="1"/>
    <brk id="59" max="1048575" man="1"/>
    <brk id="71" max="1048575" man="1"/>
    <brk id="83" max="2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340E8C-5C98-43A5-9ACF-9953A6682E22}">
  <sheetPr>
    <pageSetUpPr fitToPage="1"/>
  </sheetPr>
  <dimension ref="A1:GM31"/>
  <sheetViews>
    <sheetView topLeftCell="BL7" zoomScale="80" zoomScaleNormal="80" workbookViewId="0">
      <selection activeCell="BR38" sqref="BR38"/>
    </sheetView>
  </sheetViews>
  <sheetFormatPr defaultColWidth="15.28515625" defaultRowHeight="15.75" x14ac:dyDescent="0.2"/>
  <cols>
    <col min="1" max="1" width="34.7109375" style="1" customWidth="1"/>
    <col min="2" max="2" width="19.85546875" style="1" customWidth="1"/>
    <col min="3" max="3" width="12.140625" style="1" customWidth="1"/>
    <col min="4" max="4" width="17" style="1" customWidth="1"/>
    <col min="5" max="5" width="12.85546875" style="1" customWidth="1"/>
    <col min="6" max="6" width="17.42578125" style="1" customWidth="1"/>
    <col min="7" max="7" width="12.5703125" style="1" customWidth="1"/>
    <col min="8" max="8" width="18.42578125" style="1" customWidth="1"/>
    <col min="9" max="9" width="15.42578125" style="1" customWidth="1"/>
    <col min="10" max="10" width="12.28515625" style="1" customWidth="1"/>
    <col min="11" max="11" width="18" style="1" customWidth="1"/>
    <col min="12" max="12" width="19.28515625" style="1" customWidth="1"/>
    <col min="13" max="13" width="14.42578125" style="1" customWidth="1"/>
    <col min="14" max="14" width="13.28515625" style="1" customWidth="1"/>
    <col min="15" max="15" width="16" style="1" customWidth="1"/>
    <col min="16" max="16" width="16.85546875" style="1" customWidth="1"/>
    <col min="17" max="17" width="16.7109375" style="1" customWidth="1"/>
    <col min="18" max="18" width="16.85546875" style="1" customWidth="1"/>
    <col min="19" max="19" width="13.7109375" style="1" customWidth="1"/>
    <col min="20" max="20" width="11.5703125" style="1" customWidth="1"/>
    <col min="21" max="21" width="15" style="1" customWidth="1"/>
    <col min="22" max="22" width="16.5703125" style="1" customWidth="1"/>
    <col min="23" max="23" width="16.28515625" style="1" customWidth="1"/>
    <col min="24" max="24" width="21" style="1" customWidth="1"/>
    <col min="25" max="25" width="14.85546875" style="1" customWidth="1"/>
    <col min="26" max="26" width="10.5703125" style="1" customWidth="1"/>
    <col min="27" max="27" width="14.85546875" style="1" customWidth="1"/>
    <col min="28" max="28" width="15.85546875" style="1" customWidth="1"/>
    <col min="29" max="29" width="16.28515625" style="1" customWidth="1"/>
    <col min="30" max="30" width="15.85546875" style="1" customWidth="1"/>
    <col min="31" max="31" width="13.140625" style="1" customWidth="1"/>
    <col min="32" max="32" width="11.28515625" style="1" customWidth="1"/>
    <col min="33" max="33" width="14.85546875" style="1" customWidth="1"/>
    <col min="34" max="34" width="18.85546875" style="1" customWidth="1"/>
    <col min="35" max="35" width="16.28515625" style="1" customWidth="1"/>
    <col min="36" max="36" width="14.5703125" style="1" customWidth="1"/>
    <col min="37" max="37" width="13.42578125" style="1" customWidth="1"/>
    <col min="38" max="39" width="11.140625" style="1" customWidth="1"/>
    <col min="40" max="40" width="16" style="1" customWidth="1"/>
    <col min="41" max="41" width="15.7109375" style="1" customWidth="1"/>
    <col min="42" max="42" width="16.85546875" style="1" customWidth="1"/>
    <col min="43" max="43" width="12.5703125" style="1" customWidth="1"/>
    <col min="44" max="44" width="10.28515625" style="1" customWidth="1"/>
    <col min="45" max="45" width="13.7109375" style="1" customWidth="1"/>
    <col min="46" max="46" width="16.5703125" style="1" customWidth="1"/>
    <col min="47" max="47" width="16.42578125" style="1" customWidth="1"/>
    <col min="48" max="48" width="17.85546875" style="1" customWidth="1"/>
    <col min="49" max="49" width="12.5703125" style="1" customWidth="1"/>
    <col min="50" max="50" width="9.42578125" style="1" customWidth="1"/>
    <col min="51" max="51" width="14.28515625" style="1" customWidth="1"/>
    <col min="52" max="52" width="16.85546875" style="1" customWidth="1"/>
    <col min="53" max="53" width="15.85546875" style="1" customWidth="1"/>
    <col min="54" max="54" width="14.28515625" style="1" customWidth="1"/>
    <col min="55" max="55" width="11.5703125" style="1" customWidth="1"/>
    <col min="56" max="56" width="10.42578125" style="1" customWidth="1"/>
    <col min="57" max="57" width="11.85546875" style="1" customWidth="1"/>
    <col min="58" max="58" width="16.42578125" style="1" customWidth="1"/>
    <col min="59" max="59" width="15" style="1" customWidth="1"/>
    <col min="60" max="60" width="18.5703125" style="1" customWidth="1"/>
    <col min="61" max="61" width="11.28515625" style="1" customWidth="1"/>
    <col min="62" max="62" width="12.28515625" style="1" customWidth="1"/>
    <col min="63" max="63" width="13.5703125" style="1" customWidth="1"/>
    <col min="64" max="64" width="16.140625" style="1" customWidth="1"/>
    <col min="65" max="65" width="16.42578125" style="1" customWidth="1"/>
    <col min="66" max="66" width="18.140625" style="1" customWidth="1"/>
    <col min="67" max="67" width="12" style="1" customWidth="1"/>
    <col min="68" max="68" width="12.5703125" style="1" customWidth="1"/>
    <col min="69" max="69" width="15.42578125" style="1" customWidth="1"/>
    <col min="70" max="70" width="16.85546875" style="1" customWidth="1"/>
    <col min="71" max="71" width="15" style="1" customWidth="1"/>
    <col min="72" max="72" width="18.140625" style="1" hidden="1" customWidth="1"/>
    <col min="73" max="73" width="12" style="1" hidden="1" customWidth="1"/>
    <col min="74" max="74" width="12.5703125" style="1" hidden="1" customWidth="1"/>
    <col min="75" max="75" width="15.42578125" style="1" hidden="1" customWidth="1"/>
    <col min="76" max="76" width="16.85546875" style="1" hidden="1" customWidth="1"/>
    <col min="77" max="77" width="15" style="1" hidden="1" customWidth="1"/>
    <col min="78" max="78" width="19.7109375" style="1" hidden="1" customWidth="1"/>
    <col min="79" max="79" width="15.85546875" style="1" hidden="1" customWidth="1"/>
    <col min="80" max="81" width="15" style="1" hidden="1" customWidth="1"/>
    <col min="82" max="82" width="16.5703125" style="1" hidden="1" customWidth="1"/>
    <col min="83" max="83" width="15" style="1" hidden="1" customWidth="1"/>
    <col min="84" max="84" width="16.5703125" style="1" hidden="1" customWidth="1"/>
    <col min="85" max="87" width="15" style="1" hidden="1" customWidth="1"/>
    <col min="88" max="88" width="16.5703125" style="1" hidden="1" customWidth="1"/>
    <col min="89" max="89" width="15" style="1" hidden="1" customWidth="1"/>
    <col min="90" max="90" width="16.28515625" style="1" hidden="1" customWidth="1"/>
    <col min="91" max="93" width="15" style="1" hidden="1" customWidth="1"/>
    <col min="94" max="94" width="16.28515625" style="1" hidden="1" customWidth="1"/>
    <col min="95" max="95" width="15" style="1" hidden="1" customWidth="1"/>
    <col min="96" max="96" width="16.5703125" style="1" hidden="1" customWidth="1"/>
    <col min="97" max="99" width="15" style="1" hidden="1" customWidth="1"/>
    <col min="100" max="100" width="16" style="1" hidden="1" customWidth="1"/>
    <col min="101" max="101" width="15" style="1" hidden="1" customWidth="1"/>
    <col min="102" max="102" width="16" style="1" hidden="1" customWidth="1"/>
    <col min="103" max="105" width="15" style="1" hidden="1" customWidth="1"/>
    <col min="106" max="106" width="15.85546875" style="1" hidden="1" customWidth="1"/>
    <col min="107" max="107" width="15" style="1" hidden="1" customWidth="1"/>
    <col min="108" max="108" width="16" style="1" hidden="1" customWidth="1"/>
    <col min="109" max="111" width="15" style="1" hidden="1" customWidth="1"/>
    <col min="112" max="112" width="16.28515625" style="1" hidden="1" customWidth="1"/>
    <col min="113" max="113" width="15" style="1" hidden="1" customWidth="1"/>
    <col min="114" max="114" width="15.85546875" style="1" hidden="1" customWidth="1"/>
    <col min="115" max="117" width="15" style="1" hidden="1" customWidth="1"/>
    <col min="118" max="118" width="17" style="1" hidden="1" customWidth="1"/>
    <col min="119" max="119" width="15" style="1" hidden="1" customWidth="1"/>
    <col min="120" max="120" width="16.28515625" style="1" hidden="1" customWidth="1"/>
    <col min="121" max="123" width="15" style="1" hidden="1" customWidth="1"/>
    <col min="124" max="124" width="16" style="1" hidden="1" customWidth="1"/>
    <col min="125" max="129" width="15" style="1" hidden="1" customWidth="1"/>
    <col min="130" max="130" width="16.42578125" style="1" hidden="1" customWidth="1"/>
    <col min="131" max="135" width="15" style="1" hidden="1" customWidth="1"/>
    <col min="136" max="136" width="16.42578125" style="1" hidden="1" customWidth="1"/>
    <col min="137" max="141" width="15" style="1" hidden="1" customWidth="1"/>
    <col min="142" max="142" width="16.7109375" style="1" hidden="1" customWidth="1"/>
    <col min="143" max="147" width="15" style="1" hidden="1" customWidth="1"/>
    <col min="148" max="148" width="17.5703125" style="1" hidden="1" customWidth="1"/>
    <col min="149" max="153" width="15" style="1" hidden="1" customWidth="1"/>
    <col min="154" max="154" width="16.140625" style="1" hidden="1" customWidth="1"/>
    <col min="155" max="159" width="15" style="1" hidden="1" customWidth="1"/>
    <col min="160" max="160" width="16.42578125" style="1" hidden="1" customWidth="1"/>
    <col min="161" max="165" width="15" style="1" hidden="1" customWidth="1"/>
    <col min="166" max="166" width="16.85546875" style="1" hidden="1" customWidth="1"/>
    <col min="167" max="171" width="15" style="1" hidden="1" customWidth="1"/>
    <col min="172" max="172" width="16.85546875" style="1" hidden="1" customWidth="1"/>
    <col min="173" max="177" width="15" style="1" hidden="1" customWidth="1"/>
    <col min="178" max="178" width="16.42578125" style="1" hidden="1" customWidth="1"/>
    <col min="179" max="183" width="15" style="1" hidden="1" customWidth="1"/>
    <col min="184" max="184" width="17.140625" style="1" hidden="1" customWidth="1"/>
    <col min="185" max="189" width="15" style="1" hidden="1" customWidth="1"/>
    <col min="190" max="190" width="16.7109375" style="1" hidden="1" customWidth="1"/>
    <col min="191" max="191" width="15" style="1" hidden="1" customWidth="1"/>
    <col min="192" max="192" width="21.28515625" style="1" customWidth="1"/>
    <col min="193" max="193" width="20.5703125" style="1" customWidth="1"/>
    <col min="194" max="194" width="18.140625" style="1" customWidth="1"/>
    <col min="195" max="195" width="20.5703125" style="1" customWidth="1"/>
    <col min="196" max="16384" width="15.28515625" style="1"/>
  </cols>
  <sheetData>
    <row r="1" spans="1:195" s="5" customFormat="1" ht="61.5" customHeight="1" x14ac:dyDescent="0.2">
      <c r="A1" s="194"/>
      <c r="B1" s="264" t="s">
        <v>210</v>
      </c>
      <c r="C1" s="264"/>
      <c r="D1" s="264"/>
      <c r="E1" s="264"/>
      <c r="F1" s="264"/>
      <c r="G1" s="264"/>
      <c r="H1" s="264"/>
      <c r="I1" s="264"/>
      <c r="J1" s="264"/>
      <c r="K1" s="264"/>
      <c r="L1" s="264"/>
      <c r="M1" s="109"/>
      <c r="N1" s="109"/>
      <c r="O1" s="109"/>
      <c r="P1" s="109"/>
      <c r="Q1" s="109"/>
      <c r="R1" s="109"/>
      <c r="S1" s="109"/>
    </row>
    <row r="2" spans="1:195" s="5" customFormat="1" ht="16.5" thickBot="1" x14ac:dyDescent="0.25"/>
    <row r="3" spans="1:195" s="31" customFormat="1" ht="34.5" customHeight="1" thickBot="1" x14ac:dyDescent="0.25">
      <c r="A3" s="288" t="s">
        <v>7</v>
      </c>
      <c r="B3" s="291" t="s">
        <v>58</v>
      </c>
      <c r="C3" s="294" t="s">
        <v>9</v>
      </c>
      <c r="D3" s="295"/>
      <c r="E3" s="295"/>
      <c r="F3" s="296"/>
      <c r="G3" s="276" t="s">
        <v>59</v>
      </c>
      <c r="H3" s="277"/>
      <c r="I3" s="277"/>
      <c r="J3" s="278"/>
      <c r="K3" s="282" t="s">
        <v>78</v>
      </c>
      <c r="L3" s="62" t="s">
        <v>51</v>
      </c>
      <c r="M3" s="279" t="s">
        <v>75</v>
      </c>
      <c r="N3" s="280"/>
      <c r="O3" s="280"/>
      <c r="P3" s="280"/>
      <c r="Q3" s="280"/>
      <c r="R3" s="280"/>
      <c r="S3" s="280"/>
      <c r="T3" s="280"/>
      <c r="U3" s="280"/>
      <c r="V3" s="280"/>
      <c r="W3" s="280"/>
      <c r="X3" s="280"/>
      <c r="Y3" s="280"/>
      <c r="Z3" s="280"/>
      <c r="AA3" s="280"/>
      <c r="AB3" s="280"/>
      <c r="AC3" s="280"/>
      <c r="AD3" s="280"/>
      <c r="AE3" s="280"/>
      <c r="AF3" s="280"/>
      <c r="AG3" s="280"/>
      <c r="AH3" s="280"/>
      <c r="AI3" s="280"/>
      <c r="AJ3" s="280"/>
      <c r="AK3" s="280"/>
      <c r="AL3" s="280"/>
      <c r="AM3" s="280"/>
      <c r="AN3" s="280"/>
      <c r="AO3" s="280"/>
      <c r="AP3" s="280"/>
      <c r="AQ3" s="280"/>
      <c r="AR3" s="280"/>
      <c r="AS3" s="280"/>
      <c r="AT3" s="280"/>
      <c r="AU3" s="280"/>
      <c r="AV3" s="280"/>
      <c r="AW3" s="280"/>
      <c r="AX3" s="280"/>
      <c r="AY3" s="280"/>
      <c r="AZ3" s="280"/>
      <c r="BA3" s="280"/>
      <c r="BB3" s="280"/>
      <c r="BC3" s="280"/>
      <c r="BD3" s="280"/>
      <c r="BE3" s="280"/>
      <c r="BF3" s="280"/>
      <c r="BG3" s="280"/>
      <c r="BH3" s="280"/>
      <c r="BI3" s="280"/>
      <c r="BJ3" s="280"/>
      <c r="BK3" s="280"/>
      <c r="BL3" s="280"/>
      <c r="BM3" s="280"/>
      <c r="BN3" s="280"/>
      <c r="BO3" s="280"/>
      <c r="BP3" s="280"/>
      <c r="BQ3" s="280"/>
      <c r="BR3" s="280"/>
      <c r="BS3" s="281"/>
      <c r="BT3" s="111"/>
      <c r="BU3" s="111"/>
      <c r="BV3" s="111"/>
      <c r="BW3" s="111"/>
      <c r="BX3" s="111"/>
      <c r="BY3" s="111"/>
      <c r="BZ3" s="111"/>
      <c r="CA3" s="111"/>
      <c r="CB3" s="111"/>
      <c r="CC3" s="111"/>
      <c r="CD3" s="111"/>
      <c r="CE3" s="111"/>
      <c r="CF3" s="111"/>
      <c r="CG3" s="111"/>
      <c r="CH3" s="111"/>
      <c r="CI3" s="111"/>
      <c r="CJ3" s="111"/>
      <c r="CK3" s="111"/>
      <c r="CL3" s="111"/>
      <c r="CM3" s="111"/>
      <c r="CN3" s="111"/>
      <c r="CO3" s="111"/>
      <c r="CP3" s="111"/>
      <c r="CQ3" s="111"/>
      <c r="CR3" s="111"/>
      <c r="CS3" s="111"/>
      <c r="CT3" s="111"/>
      <c r="CU3" s="111"/>
      <c r="CV3" s="111"/>
      <c r="CW3" s="111"/>
      <c r="CX3" s="111"/>
      <c r="CY3" s="111"/>
      <c r="CZ3" s="111"/>
      <c r="DA3" s="111"/>
      <c r="DB3" s="111"/>
      <c r="DC3" s="111"/>
      <c r="DD3" s="111"/>
      <c r="DE3" s="111"/>
      <c r="DF3" s="111"/>
      <c r="DG3" s="111"/>
      <c r="DH3" s="111"/>
      <c r="DI3" s="111"/>
      <c r="DJ3" s="111"/>
      <c r="DK3" s="111"/>
      <c r="DL3" s="111"/>
      <c r="DM3" s="111"/>
      <c r="DN3" s="111"/>
      <c r="DO3" s="111"/>
      <c r="DP3" s="111"/>
      <c r="DQ3" s="111"/>
      <c r="DR3" s="111"/>
      <c r="DS3" s="111"/>
      <c r="DT3" s="111"/>
      <c r="DU3" s="111"/>
      <c r="DV3" s="111"/>
      <c r="DW3" s="111"/>
      <c r="DX3" s="111"/>
      <c r="DY3" s="111"/>
      <c r="DZ3" s="111"/>
      <c r="EA3" s="111"/>
      <c r="EB3" s="111"/>
      <c r="EC3" s="111"/>
      <c r="ED3" s="111"/>
      <c r="EE3" s="111"/>
      <c r="EF3" s="111"/>
      <c r="EG3" s="111"/>
      <c r="EH3" s="111"/>
      <c r="EI3" s="111"/>
      <c r="EJ3" s="111"/>
      <c r="EK3" s="111"/>
      <c r="EL3" s="111"/>
      <c r="EM3" s="111"/>
      <c r="EN3" s="111"/>
      <c r="EO3" s="111"/>
      <c r="EP3" s="111"/>
      <c r="EQ3" s="111"/>
      <c r="ER3" s="111"/>
      <c r="ES3" s="111"/>
      <c r="ET3" s="111"/>
      <c r="EU3" s="111"/>
      <c r="EV3" s="111"/>
      <c r="EW3" s="111"/>
      <c r="EX3" s="111"/>
      <c r="EY3" s="111"/>
      <c r="EZ3" s="111"/>
      <c r="FA3" s="111"/>
      <c r="FB3" s="111"/>
      <c r="FC3" s="111"/>
      <c r="FD3" s="111"/>
      <c r="FE3" s="111"/>
      <c r="FF3" s="111"/>
      <c r="FG3" s="111"/>
      <c r="FH3" s="111"/>
      <c r="FI3" s="111"/>
      <c r="FJ3" s="111"/>
      <c r="FK3" s="111"/>
      <c r="FL3" s="111"/>
      <c r="FM3" s="111"/>
      <c r="FN3" s="111"/>
      <c r="FO3" s="111"/>
      <c r="FP3" s="111"/>
      <c r="FQ3" s="111"/>
      <c r="FR3" s="111"/>
      <c r="FS3" s="111"/>
      <c r="FT3" s="111"/>
      <c r="FU3" s="111"/>
      <c r="FV3" s="111"/>
      <c r="FW3" s="111"/>
      <c r="FX3" s="111"/>
      <c r="FY3" s="111"/>
      <c r="FZ3" s="111"/>
      <c r="GA3" s="111"/>
      <c r="GB3" s="111"/>
      <c r="GC3" s="111"/>
      <c r="GD3" s="111"/>
      <c r="GE3" s="111"/>
      <c r="GF3" s="111"/>
      <c r="GG3" s="111"/>
      <c r="GH3" s="111"/>
      <c r="GI3" s="111"/>
      <c r="GJ3" s="299" t="s">
        <v>79</v>
      </c>
      <c r="GK3" s="261" t="s">
        <v>80</v>
      </c>
      <c r="GL3" s="302" t="s">
        <v>77</v>
      </c>
      <c r="GM3" s="261" t="s">
        <v>219</v>
      </c>
    </row>
    <row r="4" spans="1:195" s="21" customFormat="1" ht="29.25" customHeight="1" x14ac:dyDescent="0.2">
      <c r="A4" s="289"/>
      <c r="B4" s="292"/>
      <c r="C4" s="268" t="s">
        <v>10</v>
      </c>
      <c r="D4" s="269"/>
      <c r="E4" s="268" t="s">
        <v>11</v>
      </c>
      <c r="F4" s="269"/>
      <c r="G4" s="270" t="s">
        <v>198</v>
      </c>
      <c r="H4" s="272" t="s">
        <v>12</v>
      </c>
      <c r="I4" s="272" t="s">
        <v>64</v>
      </c>
      <c r="J4" s="274" t="s">
        <v>67</v>
      </c>
      <c r="K4" s="283"/>
      <c r="L4" s="286" t="s">
        <v>200</v>
      </c>
      <c r="M4" s="265" t="s">
        <v>13</v>
      </c>
      <c r="N4" s="266"/>
      <c r="O4" s="266"/>
      <c r="P4" s="266"/>
      <c r="Q4" s="285"/>
      <c r="R4" s="265" t="s">
        <v>14</v>
      </c>
      <c r="S4" s="266"/>
      <c r="T4" s="266"/>
      <c r="U4" s="266"/>
      <c r="V4" s="266"/>
      <c r="W4" s="285"/>
      <c r="X4" s="265" t="s">
        <v>15</v>
      </c>
      <c r="Y4" s="266"/>
      <c r="Z4" s="266"/>
      <c r="AA4" s="266"/>
      <c r="AB4" s="266"/>
      <c r="AC4" s="285"/>
      <c r="AD4" s="265" t="s">
        <v>16</v>
      </c>
      <c r="AE4" s="266"/>
      <c r="AF4" s="266"/>
      <c r="AG4" s="266"/>
      <c r="AH4" s="266"/>
      <c r="AI4" s="285"/>
      <c r="AJ4" s="265" t="s">
        <v>17</v>
      </c>
      <c r="AK4" s="266"/>
      <c r="AL4" s="266"/>
      <c r="AM4" s="266"/>
      <c r="AN4" s="266"/>
      <c r="AO4" s="285"/>
      <c r="AP4" s="265" t="s">
        <v>18</v>
      </c>
      <c r="AQ4" s="266"/>
      <c r="AR4" s="266"/>
      <c r="AS4" s="266"/>
      <c r="AT4" s="266"/>
      <c r="AU4" s="285"/>
      <c r="AV4" s="265" t="s">
        <v>19</v>
      </c>
      <c r="AW4" s="266"/>
      <c r="AX4" s="266"/>
      <c r="AY4" s="266"/>
      <c r="AZ4" s="266"/>
      <c r="BA4" s="285"/>
      <c r="BB4" s="265" t="s">
        <v>20</v>
      </c>
      <c r="BC4" s="266"/>
      <c r="BD4" s="266"/>
      <c r="BE4" s="266"/>
      <c r="BF4" s="266"/>
      <c r="BG4" s="285"/>
      <c r="BH4" s="265" t="s">
        <v>21</v>
      </c>
      <c r="BI4" s="266"/>
      <c r="BJ4" s="266"/>
      <c r="BK4" s="266"/>
      <c r="BL4" s="266"/>
      <c r="BM4" s="285"/>
      <c r="BN4" s="265" t="s">
        <v>22</v>
      </c>
      <c r="BO4" s="266"/>
      <c r="BP4" s="266"/>
      <c r="BQ4" s="266"/>
      <c r="BR4" s="266"/>
      <c r="BS4" s="267"/>
      <c r="BT4" s="265" t="s">
        <v>83</v>
      </c>
      <c r="BU4" s="266"/>
      <c r="BV4" s="266"/>
      <c r="BW4" s="266"/>
      <c r="BX4" s="266"/>
      <c r="BY4" s="267"/>
      <c r="BZ4" s="265" t="s">
        <v>86</v>
      </c>
      <c r="CA4" s="266"/>
      <c r="CB4" s="266"/>
      <c r="CC4" s="266"/>
      <c r="CD4" s="266"/>
      <c r="CE4" s="267"/>
      <c r="CF4" s="265" t="s">
        <v>87</v>
      </c>
      <c r="CG4" s="266"/>
      <c r="CH4" s="266"/>
      <c r="CI4" s="266"/>
      <c r="CJ4" s="266"/>
      <c r="CK4" s="267"/>
      <c r="CL4" s="265" t="s">
        <v>92</v>
      </c>
      <c r="CM4" s="266"/>
      <c r="CN4" s="266"/>
      <c r="CO4" s="266"/>
      <c r="CP4" s="266"/>
      <c r="CQ4" s="267"/>
      <c r="CR4" s="265" t="s">
        <v>95</v>
      </c>
      <c r="CS4" s="266"/>
      <c r="CT4" s="266"/>
      <c r="CU4" s="266"/>
      <c r="CV4" s="266"/>
      <c r="CW4" s="267"/>
      <c r="CX4" s="265" t="s">
        <v>98</v>
      </c>
      <c r="CY4" s="266"/>
      <c r="CZ4" s="266"/>
      <c r="DA4" s="266"/>
      <c r="DB4" s="266"/>
      <c r="DC4" s="267"/>
      <c r="DD4" s="265" t="s">
        <v>101</v>
      </c>
      <c r="DE4" s="266"/>
      <c r="DF4" s="266"/>
      <c r="DG4" s="266"/>
      <c r="DH4" s="266"/>
      <c r="DI4" s="267"/>
      <c r="DJ4" s="265" t="s">
        <v>104</v>
      </c>
      <c r="DK4" s="266"/>
      <c r="DL4" s="266"/>
      <c r="DM4" s="266"/>
      <c r="DN4" s="266"/>
      <c r="DO4" s="267"/>
      <c r="DP4" s="265" t="s">
        <v>107</v>
      </c>
      <c r="DQ4" s="266"/>
      <c r="DR4" s="266"/>
      <c r="DS4" s="266"/>
      <c r="DT4" s="266"/>
      <c r="DU4" s="267"/>
      <c r="DV4" s="265" t="s">
        <v>110</v>
      </c>
      <c r="DW4" s="266"/>
      <c r="DX4" s="266"/>
      <c r="DY4" s="266"/>
      <c r="DZ4" s="266"/>
      <c r="EA4" s="267"/>
      <c r="EB4" s="265" t="s">
        <v>132</v>
      </c>
      <c r="EC4" s="266"/>
      <c r="ED4" s="266"/>
      <c r="EE4" s="266"/>
      <c r="EF4" s="266"/>
      <c r="EG4" s="267"/>
      <c r="EH4" s="265" t="s">
        <v>136</v>
      </c>
      <c r="EI4" s="266"/>
      <c r="EJ4" s="266"/>
      <c r="EK4" s="266"/>
      <c r="EL4" s="266"/>
      <c r="EM4" s="267"/>
      <c r="EN4" s="265" t="s">
        <v>140</v>
      </c>
      <c r="EO4" s="266"/>
      <c r="EP4" s="266"/>
      <c r="EQ4" s="266"/>
      <c r="ER4" s="266"/>
      <c r="ES4" s="267"/>
      <c r="ET4" s="265" t="s">
        <v>144</v>
      </c>
      <c r="EU4" s="266"/>
      <c r="EV4" s="266"/>
      <c r="EW4" s="266"/>
      <c r="EX4" s="266"/>
      <c r="EY4" s="267"/>
      <c r="EZ4" s="265" t="s">
        <v>148</v>
      </c>
      <c r="FA4" s="266"/>
      <c r="FB4" s="266"/>
      <c r="FC4" s="266"/>
      <c r="FD4" s="266"/>
      <c r="FE4" s="267"/>
      <c r="FF4" s="265" t="s">
        <v>152</v>
      </c>
      <c r="FG4" s="266"/>
      <c r="FH4" s="266"/>
      <c r="FI4" s="266"/>
      <c r="FJ4" s="266"/>
      <c r="FK4" s="267"/>
      <c r="FL4" s="265" t="s">
        <v>156</v>
      </c>
      <c r="FM4" s="266"/>
      <c r="FN4" s="266"/>
      <c r="FO4" s="266"/>
      <c r="FP4" s="266"/>
      <c r="FQ4" s="267"/>
      <c r="FR4" s="265" t="s">
        <v>160</v>
      </c>
      <c r="FS4" s="266"/>
      <c r="FT4" s="266"/>
      <c r="FU4" s="266"/>
      <c r="FV4" s="266"/>
      <c r="FW4" s="267"/>
      <c r="FX4" s="265" t="s">
        <v>164</v>
      </c>
      <c r="FY4" s="266"/>
      <c r="FZ4" s="266"/>
      <c r="GA4" s="266"/>
      <c r="GB4" s="266"/>
      <c r="GC4" s="267"/>
      <c r="GD4" s="265" t="s">
        <v>167</v>
      </c>
      <c r="GE4" s="266"/>
      <c r="GF4" s="266"/>
      <c r="GG4" s="266"/>
      <c r="GH4" s="266"/>
      <c r="GI4" s="267"/>
      <c r="GJ4" s="300"/>
      <c r="GK4" s="262"/>
      <c r="GL4" s="303"/>
      <c r="GM4" s="262"/>
    </row>
    <row r="5" spans="1:195" s="21" customFormat="1" ht="246" customHeight="1" thickBot="1" x14ac:dyDescent="0.25">
      <c r="A5" s="289"/>
      <c r="B5" s="293"/>
      <c r="C5" s="297" t="s">
        <v>201</v>
      </c>
      <c r="D5" s="298"/>
      <c r="E5" s="297" t="s">
        <v>73</v>
      </c>
      <c r="F5" s="298"/>
      <c r="G5" s="271"/>
      <c r="H5" s="273"/>
      <c r="I5" s="273"/>
      <c r="J5" s="275"/>
      <c r="K5" s="284"/>
      <c r="L5" s="287"/>
      <c r="M5" s="59" t="s">
        <v>57</v>
      </c>
      <c r="N5" s="60" t="s">
        <v>122</v>
      </c>
      <c r="O5" s="60" t="s">
        <v>65</v>
      </c>
      <c r="P5" s="60" t="s">
        <v>76</v>
      </c>
      <c r="Q5" s="61" t="s">
        <v>23</v>
      </c>
      <c r="R5" s="59" t="s">
        <v>24</v>
      </c>
      <c r="S5" s="60" t="s">
        <v>123</v>
      </c>
      <c r="T5" s="60" t="s">
        <v>57</v>
      </c>
      <c r="U5" s="60" t="s">
        <v>65</v>
      </c>
      <c r="V5" s="60" t="s">
        <v>76</v>
      </c>
      <c r="W5" s="61" t="s">
        <v>25</v>
      </c>
      <c r="X5" s="59" t="s">
        <v>26</v>
      </c>
      <c r="Y5" s="60" t="s">
        <v>124</v>
      </c>
      <c r="Z5" s="60" t="s">
        <v>57</v>
      </c>
      <c r="AA5" s="60" t="s">
        <v>65</v>
      </c>
      <c r="AB5" s="60" t="s">
        <v>76</v>
      </c>
      <c r="AC5" s="61" t="s">
        <v>27</v>
      </c>
      <c r="AD5" s="59" t="s">
        <v>28</v>
      </c>
      <c r="AE5" s="60" t="s">
        <v>125</v>
      </c>
      <c r="AF5" s="60" t="s">
        <v>57</v>
      </c>
      <c r="AG5" s="60" t="s">
        <v>65</v>
      </c>
      <c r="AH5" s="60" t="s">
        <v>76</v>
      </c>
      <c r="AI5" s="61" t="s">
        <v>29</v>
      </c>
      <c r="AJ5" s="59" t="s">
        <v>30</v>
      </c>
      <c r="AK5" s="60" t="s">
        <v>126</v>
      </c>
      <c r="AL5" s="60" t="s">
        <v>57</v>
      </c>
      <c r="AM5" s="60" t="s">
        <v>65</v>
      </c>
      <c r="AN5" s="60" t="s">
        <v>76</v>
      </c>
      <c r="AO5" s="61" t="s">
        <v>31</v>
      </c>
      <c r="AP5" s="59" t="s">
        <v>32</v>
      </c>
      <c r="AQ5" s="60" t="s">
        <v>127</v>
      </c>
      <c r="AR5" s="60" t="s">
        <v>57</v>
      </c>
      <c r="AS5" s="60" t="s">
        <v>65</v>
      </c>
      <c r="AT5" s="60" t="s">
        <v>76</v>
      </c>
      <c r="AU5" s="61" t="s">
        <v>33</v>
      </c>
      <c r="AV5" s="59" t="s">
        <v>34</v>
      </c>
      <c r="AW5" s="60" t="s">
        <v>128</v>
      </c>
      <c r="AX5" s="60" t="s">
        <v>57</v>
      </c>
      <c r="AY5" s="60" t="s">
        <v>65</v>
      </c>
      <c r="AZ5" s="60" t="s">
        <v>76</v>
      </c>
      <c r="BA5" s="61" t="s">
        <v>35</v>
      </c>
      <c r="BB5" s="59" t="s">
        <v>36</v>
      </c>
      <c r="BC5" s="60" t="s">
        <v>129</v>
      </c>
      <c r="BD5" s="60" t="s">
        <v>57</v>
      </c>
      <c r="BE5" s="60" t="s">
        <v>65</v>
      </c>
      <c r="BF5" s="60" t="s">
        <v>76</v>
      </c>
      <c r="BG5" s="61" t="s">
        <v>37</v>
      </c>
      <c r="BH5" s="59" t="s">
        <v>38</v>
      </c>
      <c r="BI5" s="60" t="s">
        <v>130</v>
      </c>
      <c r="BJ5" s="60" t="s">
        <v>57</v>
      </c>
      <c r="BK5" s="60" t="s">
        <v>65</v>
      </c>
      <c r="BL5" s="60" t="s">
        <v>76</v>
      </c>
      <c r="BM5" s="61" t="s">
        <v>39</v>
      </c>
      <c r="BN5" s="59" t="s">
        <v>40</v>
      </c>
      <c r="BO5" s="60" t="s">
        <v>131</v>
      </c>
      <c r="BP5" s="60" t="s">
        <v>57</v>
      </c>
      <c r="BQ5" s="60" t="s">
        <v>65</v>
      </c>
      <c r="BR5" s="60" t="s">
        <v>76</v>
      </c>
      <c r="BS5" s="75" t="s">
        <v>41</v>
      </c>
      <c r="BT5" s="59" t="s">
        <v>84</v>
      </c>
      <c r="BU5" s="60" t="s">
        <v>113</v>
      </c>
      <c r="BV5" s="60" t="s">
        <v>57</v>
      </c>
      <c r="BW5" s="60" t="s">
        <v>65</v>
      </c>
      <c r="BX5" s="60" t="s">
        <v>76</v>
      </c>
      <c r="BY5" s="75" t="s">
        <v>85</v>
      </c>
      <c r="BZ5" s="59" t="s">
        <v>88</v>
      </c>
      <c r="CA5" s="60" t="s">
        <v>114</v>
      </c>
      <c r="CB5" s="60" t="s">
        <v>57</v>
      </c>
      <c r="CC5" s="60" t="s">
        <v>65</v>
      </c>
      <c r="CD5" s="60" t="s">
        <v>76</v>
      </c>
      <c r="CE5" s="75" t="s">
        <v>89</v>
      </c>
      <c r="CF5" s="59" t="s">
        <v>90</v>
      </c>
      <c r="CG5" s="60" t="s">
        <v>115</v>
      </c>
      <c r="CH5" s="60" t="s">
        <v>57</v>
      </c>
      <c r="CI5" s="60" t="s">
        <v>65</v>
      </c>
      <c r="CJ5" s="60" t="s">
        <v>76</v>
      </c>
      <c r="CK5" s="75" t="s">
        <v>91</v>
      </c>
      <c r="CL5" s="59" t="s">
        <v>93</v>
      </c>
      <c r="CM5" s="60" t="s">
        <v>116</v>
      </c>
      <c r="CN5" s="60" t="s">
        <v>57</v>
      </c>
      <c r="CO5" s="60" t="s">
        <v>65</v>
      </c>
      <c r="CP5" s="60" t="s">
        <v>76</v>
      </c>
      <c r="CQ5" s="75" t="s">
        <v>94</v>
      </c>
      <c r="CR5" s="59" t="s">
        <v>96</v>
      </c>
      <c r="CS5" s="60" t="s">
        <v>117</v>
      </c>
      <c r="CT5" s="60" t="s">
        <v>57</v>
      </c>
      <c r="CU5" s="60" t="s">
        <v>65</v>
      </c>
      <c r="CV5" s="60" t="s">
        <v>76</v>
      </c>
      <c r="CW5" s="75" t="s">
        <v>97</v>
      </c>
      <c r="CX5" s="59" t="s">
        <v>99</v>
      </c>
      <c r="CY5" s="60" t="s">
        <v>118</v>
      </c>
      <c r="CZ5" s="60" t="s">
        <v>57</v>
      </c>
      <c r="DA5" s="60" t="s">
        <v>65</v>
      </c>
      <c r="DB5" s="60" t="s">
        <v>76</v>
      </c>
      <c r="DC5" s="75" t="s">
        <v>100</v>
      </c>
      <c r="DD5" s="59" t="s">
        <v>102</v>
      </c>
      <c r="DE5" s="60" t="s">
        <v>119</v>
      </c>
      <c r="DF5" s="60" t="s">
        <v>57</v>
      </c>
      <c r="DG5" s="60" t="s">
        <v>65</v>
      </c>
      <c r="DH5" s="60" t="s">
        <v>76</v>
      </c>
      <c r="DI5" s="75" t="s">
        <v>103</v>
      </c>
      <c r="DJ5" s="59" t="s">
        <v>105</v>
      </c>
      <c r="DK5" s="60" t="s">
        <v>66</v>
      </c>
      <c r="DL5" s="60" t="s">
        <v>57</v>
      </c>
      <c r="DM5" s="60" t="s">
        <v>65</v>
      </c>
      <c r="DN5" s="60" t="s">
        <v>76</v>
      </c>
      <c r="DO5" s="75" t="s">
        <v>106</v>
      </c>
      <c r="DP5" s="59" t="s">
        <v>108</v>
      </c>
      <c r="DQ5" s="60" t="s">
        <v>120</v>
      </c>
      <c r="DR5" s="60" t="s">
        <v>57</v>
      </c>
      <c r="DS5" s="60" t="s">
        <v>65</v>
      </c>
      <c r="DT5" s="60" t="s">
        <v>76</v>
      </c>
      <c r="DU5" s="75" t="s">
        <v>109</v>
      </c>
      <c r="DV5" s="59" t="s">
        <v>112</v>
      </c>
      <c r="DW5" s="60" t="s">
        <v>121</v>
      </c>
      <c r="DX5" s="60" t="s">
        <v>57</v>
      </c>
      <c r="DY5" s="60" t="s">
        <v>65</v>
      </c>
      <c r="DZ5" s="60" t="s">
        <v>76</v>
      </c>
      <c r="EA5" s="75" t="s">
        <v>111</v>
      </c>
      <c r="EB5" s="59" t="s">
        <v>133</v>
      </c>
      <c r="EC5" s="60" t="s">
        <v>134</v>
      </c>
      <c r="ED5" s="60" t="s">
        <v>57</v>
      </c>
      <c r="EE5" s="60" t="s">
        <v>65</v>
      </c>
      <c r="EF5" s="60" t="s">
        <v>76</v>
      </c>
      <c r="EG5" s="75" t="s">
        <v>135</v>
      </c>
      <c r="EH5" s="59" t="s">
        <v>137</v>
      </c>
      <c r="EI5" s="60" t="s">
        <v>138</v>
      </c>
      <c r="EJ5" s="60" t="s">
        <v>57</v>
      </c>
      <c r="EK5" s="60" t="s">
        <v>65</v>
      </c>
      <c r="EL5" s="60" t="s">
        <v>76</v>
      </c>
      <c r="EM5" s="75" t="s">
        <v>139</v>
      </c>
      <c r="EN5" s="59" t="s">
        <v>141</v>
      </c>
      <c r="EO5" s="60" t="s">
        <v>142</v>
      </c>
      <c r="EP5" s="60" t="s">
        <v>57</v>
      </c>
      <c r="EQ5" s="60" t="s">
        <v>65</v>
      </c>
      <c r="ER5" s="60" t="s">
        <v>76</v>
      </c>
      <c r="ES5" s="75" t="s">
        <v>143</v>
      </c>
      <c r="ET5" s="59" t="s">
        <v>145</v>
      </c>
      <c r="EU5" s="60" t="s">
        <v>146</v>
      </c>
      <c r="EV5" s="60" t="s">
        <v>57</v>
      </c>
      <c r="EW5" s="60" t="s">
        <v>65</v>
      </c>
      <c r="EX5" s="60" t="s">
        <v>76</v>
      </c>
      <c r="EY5" s="75" t="s">
        <v>147</v>
      </c>
      <c r="EZ5" s="59" t="s">
        <v>149</v>
      </c>
      <c r="FA5" s="60" t="s">
        <v>150</v>
      </c>
      <c r="FB5" s="60" t="s">
        <v>57</v>
      </c>
      <c r="FC5" s="60" t="s">
        <v>65</v>
      </c>
      <c r="FD5" s="60" t="s">
        <v>76</v>
      </c>
      <c r="FE5" s="75" t="s">
        <v>151</v>
      </c>
      <c r="FF5" s="59" t="s">
        <v>153</v>
      </c>
      <c r="FG5" s="60" t="s">
        <v>154</v>
      </c>
      <c r="FH5" s="60" t="s">
        <v>57</v>
      </c>
      <c r="FI5" s="60" t="s">
        <v>65</v>
      </c>
      <c r="FJ5" s="60" t="s">
        <v>76</v>
      </c>
      <c r="FK5" s="75" t="s">
        <v>155</v>
      </c>
      <c r="FL5" s="59" t="s">
        <v>157</v>
      </c>
      <c r="FM5" s="60" t="s">
        <v>158</v>
      </c>
      <c r="FN5" s="60" t="s">
        <v>57</v>
      </c>
      <c r="FO5" s="60" t="s">
        <v>65</v>
      </c>
      <c r="FP5" s="60" t="s">
        <v>76</v>
      </c>
      <c r="FQ5" s="75" t="s">
        <v>159</v>
      </c>
      <c r="FR5" s="59" t="s">
        <v>161</v>
      </c>
      <c r="FS5" s="60" t="s">
        <v>162</v>
      </c>
      <c r="FT5" s="60" t="s">
        <v>57</v>
      </c>
      <c r="FU5" s="60" t="s">
        <v>65</v>
      </c>
      <c r="FV5" s="60" t="s">
        <v>76</v>
      </c>
      <c r="FW5" s="75" t="s">
        <v>163</v>
      </c>
      <c r="FX5" s="59" t="s">
        <v>165</v>
      </c>
      <c r="FY5" s="60" t="s">
        <v>169</v>
      </c>
      <c r="FZ5" s="60" t="s">
        <v>57</v>
      </c>
      <c r="GA5" s="60" t="s">
        <v>65</v>
      </c>
      <c r="GB5" s="60" t="s">
        <v>76</v>
      </c>
      <c r="GC5" s="75" t="s">
        <v>166</v>
      </c>
      <c r="GD5" s="59" t="s">
        <v>168</v>
      </c>
      <c r="GE5" s="60" t="s">
        <v>170</v>
      </c>
      <c r="GF5" s="60" t="s">
        <v>57</v>
      </c>
      <c r="GG5" s="60" t="s">
        <v>65</v>
      </c>
      <c r="GH5" s="60" t="s">
        <v>76</v>
      </c>
      <c r="GI5" s="75" t="s">
        <v>171</v>
      </c>
      <c r="GJ5" s="301"/>
      <c r="GK5" s="263"/>
      <c r="GL5" s="304"/>
      <c r="GM5" s="263"/>
    </row>
    <row r="6" spans="1:195" s="21" customFormat="1" ht="19.5" thickBot="1" x14ac:dyDescent="0.25">
      <c r="A6" s="290"/>
      <c r="B6" s="91" t="s">
        <v>42</v>
      </c>
      <c r="C6" s="64" t="s">
        <v>43</v>
      </c>
      <c r="D6" s="65" t="s">
        <v>44</v>
      </c>
      <c r="E6" s="64" t="s">
        <v>45</v>
      </c>
      <c r="F6" s="65" t="s">
        <v>46</v>
      </c>
      <c r="G6" s="58" t="s">
        <v>1</v>
      </c>
      <c r="H6" s="57" t="s">
        <v>2</v>
      </c>
      <c r="I6" s="47" t="s">
        <v>71</v>
      </c>
      <c r="J6" s="98" t="s">
        <v>69</v>
      </c>
      <c r="K6" s="103" t="s">
        <v>47</v>
      </c>
      <c r="L6" s="63" t="s">
        <v>48</v>
      </c>
      <c r="M6" s="64" t="s">
        <v>47</v>
      </c>
      <c r="N6" s="57" t="s">
        <v>55</v>
      </c>
      <c r="O6" s="57" t="s">
        <v>54</v>
      </c>
      <c r="P6" s="57" t="s">
        <v>53</v>
      </c>
      <c r="Q6" s="65" t="s">
        <v>52</v>
      </c>
      <c r="R6" s="64" t="s">
        <v>46</v>
      </c>
      <c r="S6" s="57" t="s">
        <v>55</v>
      </c>
      <c r="T6" s="57" t="s">
        <v>47</v>
      </c>
      <c r="U6" s="57" t="s">
        <v>54</v>
      </c>
      <c r="V6" s="57" t="s">
        <v>53</v>
      </c>
      <c r="W6" s="65" t="s">
        <v>52</v>
      </c>
      <c r="X6" s="64" t="s">
        <v>46</v>
      </c>
      <c r="Y6" s="57" t="s">
        <v>55</v>
      </c>
      <c r="Z6" s="57" t="s">
        <v>47</v>
      </c>
      <c r="AA6" s="57" t="s">
        <v>54</v>
      </c>
      <c r="AB6" s="57" t="s">
        <v>53</v>
      </c>
      <c r="AC6" s="65" t="s">
        <v>52</v>
      </c>
      <c r="AD6" s="64" t="s">
        <v>46</v>
      </c>
      <c r="AE6" s="57" t="s">
        <v>55</v>
      </c>
      <c r="AF6" s="57" t="s">
        <v>47</v>
      </c>
      <c r="AG6" s="57" t="s">
        <v>54</v>
      </c>
      <c r="AH6" s="57" t="s">
        <v>53</v>
      </c>
      <c r="AI6" s="65" t="s">
        <v>52</v>
      </c>
      <c r="AJ6" s="64" t="s">
        <v>46</v>
      </c>
      <c r="AK6" s="57" t="s">
        <v>55</v>
      </c>
      <c r="AL6" s="57" t="s">
        <v>47</v>
      </c>
      <c r="AM6" s="57" t="s">
        <v>54</v>
      </c>
      <c r="AN6" s="57" t="s">
        <v>53</v>
      </c>
      <c r="AO6" s="65" t="s">
        <v>52</v>
      </c>
      <c r="AP6" s="64" t="s">
        <v>46</v>
      </c>
      <c r="AQ6" s="57" t="s">
        <v>55</v>
      </c>
      <c r="AR6" s="57" t="s">
        <v>47</v>
      </c>
      <c r="AS6" s="57" t="s">
        <v>54</v>
      </c>
      <c r="AT6" s="57" t="s">
        <v>53</v>
      </c>
      <c r="AU6" s="65" t="s">
        <v>52</v>
      </c>
      <c r="AV6" s="64" t="s">
        <v>46</v>
      </c>
      <c r="AW6" s="57" t="s">
        <v>55</v>
      </c>
      <c r="AX6" s="57" t="s">
        <v>47</v>
      </c>
      <c r="AY6" s="57" t="s">
        <v>54</v>
      </c>
      <c r="AZ6" s="57" t="s">
        <v>53</v>
      </c>
      <c r="BA6" s="65" t="s">
        <v>52</v>
      </c>
      <c r="BB6" s="64" t="s">
        <v>46</v>
      </c>
      <c r="BC6" s="57" t="s">
        <v>55</v>
      </c>
      <c r="BD6" s="57" t="s">
        <v>47</v>
      </c>
      <c r="BE6" s="57" t="s">
        <v>54</v>
      </c>
      <c r="BF6" s="57" t="s">
        <v>53</v>
      </c>
      <c r="BG6" s="65" t="s">
        <v>52</v>
      </c>
      <c r="BH6" s="64" t="s">
        <v>46</v>
      </c>
      <c r="BI6" s="57" t="s">
        <v>55</v>
      </c>
      <c r="BJ6" s="57" t="s">
        <v>47</v>
      </c>
      <c r="BK6" s="57" t="s">
        <v>54</v>
      </c>
      <c r="BL6" s="57" t="s">
        <v>53</v>
      </c>
      <c r="BM6" s="65" t="s">
        <v>52</v>
      </c>
      <c r="BN6" s="64" t="s">
        <v>46</v>
      </c>
      <c r="BO6" s="57" t="s">
        <v>55</v>
      </c>
      <c r="BP6" s="57" t="s">
        <v>47</v>
      </c>
      <c r="BQ6" s="57" t="s">
        <v>54</v>
      </c>
      <c r="BR6" s="57" t="s">
        <v>53</v>
      </c>
      <c r="BS6" s="98" t="s">
        <v>52</v>
      </c>
      <c r="BT6" s="64" t="s">
        <v>46</v>
      </c>
      <c r="BU6" s="57" t="s">
        <v>55</v>
      </c>
      <c r="BV6" s="57" t="s">
        <v>47</v>
      </c>
      <c r="BW6" s="57" t="s">
        <v>82</v>
      </c>
      <c r="BX6" s="57" t="s">
        <v>53</v>
      </c>
      <c r="BY6" s="98" t="s">
        <v>52</v>
      </c>
      <c r="BZ6" s="64" t="s">
        <v>46</v>
      </c>
      <c r="CA6" s="57" t="s">
        <v>55</v>
      </c>
      <c r="CB6" s="57" t="s">
        <v>47</v>
      </c>
      <c r="CC6" s="57" t="s">
        <v>82</v>
      </c>
      <c r="CD6" s="57" t="s">
        <v>53</v>
      </c>
      <c r="CE6" s="98" t="s">
        <v>52</v>
      </c>
      <c r="CF6" s="64" t="s">
        <v>46</v>
      </c>
      <c r="CG6" s="57" t="s">
        <v>55</v>
      </c>
      <c r="CH6" s="57" t="s">
        <v>47</v>
      </c>
      <c r="CI6" s="57" t="s">
        <v>82</v>
      </c>
      <c r="CJ6" s="57" t="s">
        <v>53</v>
      </c>
      <c r="CK6" s="98" t="s">
        <v>52</v>
      </c>
      <c r="CL6" s="64" t="s">
        <v>46</v>
      </c>
      <c r="CM6" s="57" t="s">
        <v>55</v>
      </c>
      <c r="CN6" s="57" t="s">
        <v>47</v>
      </c>
      <c r="CO6" s="57" t="s">
        <v>82</v>
      </c>
      <c r="CP6" s="57" t="s">
        <v>53</v>
      </c>
      <c r="CQ6" s="98" t="s">
        <v>52</v>
      </c>
      <c r="CR6" s="64" t="s">
        <v>46</v>
      </c>
      <c r="CS6" s="57" t="s">
        <v>55</v>
      </c>
      <c r="CT6" s="57" t="s">
        <v>47</v>
      </c>
      <c r="CU6" s="57" t="s">
        <v>82</v>
      </c>
      <c r="CV6" s="57" t="s">
        <v>53</v>
      </c>
      <c r="CW6" s="98" t="s">
        <v>52</v>
      </c>
      <c r="CX6" s="64" t="s">
        <v>46</v>
      </c>
      <c r="CY6" s="57" t="s">
        <v>55</v>
      </c>
      <c r="CZ6" s="57" t="s">
        <v>47</v>
      </c>
      <c r="DA6" s="57" t="s">
        <v>82</v>
      </c>
      <c r="DB6" s="57" t="s">
        <v>53</v>
      </c>
      <c r="DC6" s="98" t="s">
        <v>52</v>
      </c>
      <c r="DD6" s="64" t="s">
        <v>46</v>
      </c>
      <c r="DE6" s="57" t="s">
        <v>55</v>
      </c>
      <c r="DF6" s="57" t="s">
        <v>47</v>
      </c>
      <c r="DG6" s="57" t="s">
        <v>82</v>
      </c>
      <c r="DH6" s="57" t="s">
        <v>53</v>
      </c>
      <c r="DI6" s="98" t="s">
        <v>52</v>
      </c>
      <c r="DJ6" s="64" t="s">
        <v>46</v>
      </c>
      <c r="DK6" s="57" t="s">
        <v>55</v>
      </c>
      <c r="DL6" s="57" t="s">
        <v>47</v>
      </c>
      <c r="DM6" s="57" t="s">
        <v>82</v>
      </c>
      <c r="DN6" s="57" t="s">
        <v>53</v>
      </c>
      <c r="DO6" s="98" t="s">
        <v>52</v>
      </c>
      <c r="DP6" s="64" t="s">
        <v>46</v>
      </c>
      <c r="DQ6" s="57" t="s">
        <v>55</v>
      </c>
      <c r="DR6" s="57" t="s">
        <v>47</v>
      </c>
      <c r="DS6" s="57" t="s">
        <v>82</v>
      </c>
      <c r="DT6" s="57" t="s">
        <v>53</v>
      </c>
      <c r="DU6" s="98" t="s">
        <v>52</v>
      </c>
      <c r="DV6" s="64" t="s">
        <v>46</v>
      </c>
      <c r="DW6" s="57" t="s">
        <v>55</v>
      </c>
      <c r="DX6" s="57" t="s">
        <v>47</v>
      </c>
      <c r="DY6" s="57" t="s">
        <v>82</v>
      </c>
      <c r="DZ6" s="57" t="s">
        <v>53</v>
      </c>
      <c r="EA6" s="98" t="s">
        <v>52</v>
      </c>
      <c r="EB6" s="64" t="s">
        <v>46</v>
      </c>
      <c r="EC6" s="57" t="s">
        <v>55</v>
      </c>
      <c r="ED6" s="57" t="s">
        <v>47</v>
      </c>
      <c r="EE6" s="57" t="s">
        <v>82</v>
      </c>
      <c r="EF6" s="57" t="s">
        <v>53</v>
      </c>
      <c r="EG6" s="98" t="s">
        <v>52</v>
      </c>
      <c r="EH6" s="64" t="s">
        <v>46</v>
      </c>
      <c r="EI6" s="57" t="s">
        <v>55</v>
      </c>
      <c r="EJ6" s="57" t="s">
        <v>47</v>
      </c>
      <c r="EK6" s="57" t="s">
        <v>82</v>
      </c>
      <c r="EL6" s="57" t="s">
        <v>53</v>
      </c>
      <c r="EM6" s="98" t="s">
        <v>52</v>
      </c>
      <c r="EN6" s="64" t="s">
        <v>46</v>
      </c>
      <c r="EO6" s="57" t="s">
        <v>55</v>
      </c>
      <c r="EP6" s="57" t="s">
        <v>47</v>
      </c>
      <c r="EQ6" s="57" t="s">
        <v>82</v>
      </c>
      <c r="ER6" s="57" t="s">
        <v>53</v>
      </c>
      <c r="ES6" s="98" t="s">
        <v>52</v>
      </c>
      <c r="ET6" s="64" t="s">
        <v>46</v>
      </c>
      <c r="EU6" s="57" t="s">
        <v>55</v>
      </c>
      <c r="EV6" s="57" t="s">
        <v>47</v>
      </c>
      <c r="EW6" s="57" t="s">
        <v>82</v>
      </c>
      <c r="EX6" s="57" t="s">
        <v>53</v>
      </c>
      <c r="EY6" s="98" t="s">
        <v>52</v>
      </c>
      <c r="EZ6" s="64" t="s">
        <v>46</v>
      </c>
      <c r="FA6" s="57" t="s">
        <v>55</v>
      </c>
      <c r="FB6" s="57" t="s">
        <v>47</v>
      </c>
      <c r="FC6" s="57" t="s">
        <v>82</v>
      </c>
      <c r="FD6" s="57" t="s">
        <v>53</v>
      </c>
      <c r="FE6" s="98" t="s">
        <v>52</v>
      </c>
      <c r="FF6" s="64" t="s">
        <v>46</v>
      </c>
      <c r="FG6" s="57" t="s">
        <v>55</v>
      </c>
      <c r="FH6" s="57" t="s">
        <v>47</v>
      </c>
      <c r="FI6" s="57" t="s">
        <v>82</v>
      </c>
      <c r="FJ6" s="57" t="s">
        <v>53</v>
      </c>
      <c r="FK6" s="98" t="s">
        <v>52</v>
      </c>
      <c r="FL6" s="64" t="s">
        <v>46</v>
      </c>
      <c r="FM6" s="57" t="s">
        <v>55</v>
      </c>
      <c r="FN6" s="57" t="s">
        <v>47</v>
      </c>
      <c r="FO6" s="57" t="s">
        <v>82</v>
      </c>
      <c r="FP6" s="57" t="s">
        <v>53</v>
      </c>
      <c r="FQ6" s="98" t="s">
        <v>52</v>
      </c>
      <c r="FR6" s="64" t="s">
        <v>46</v>
      </c>
      <c r="FS6" s="57" t="s">
        <v>55</v>
      </c>
      <c r="FT6" s="57" t="s">
        <v>47</v>
      </c>
      <c r="FU6" s="57" t="s">
        <v>82</v>
      </c>
      <c r="FV6" s="57" t="s">
        <v>53</v>
      </c>
      <c r="FW6" s="98" t="s">
        <v>52</v>
      </c>
      <c r="FX6" s="64" t="s">
        <v>46</v>
      </c>
      <c r="FY6" s="57" t="s">
        <v>55</v>
      </c>
      <c r="FZ6" s="57" t="s">
        <v>47</v>
      </c>
      <c r="GA6" s="57" t="s">
        <v>82</v>
      </c>
      <c r="GB6" s="57" t="s">
        <v>53</v>
      </c>
      <c r="GC6" s="98" t="s">
        <v>52</v>
      </c>
      <c r="GD6" s="64" t="s">
        <v>46</v>
      </c>
      <c r="GE6" s="57" t="s">
        <v>55</v>
      </c>
      <c r="GF6" s="57" t="s">
        <v>47</v>
      </c>
      <c r="GG6" s="57" t="s">
        <v>82</v>
      </c>
      <c r="GH6" s="57" t="s">
        <v>53</v>
      </c>
      <c r="GI6" s="98" t="s">
        <v>52</v>
      </c>
      <c r="GJ6" s="145" t="s">
        <v>52</v>
      </c>
      <c r="GK6" s="143" t="s">
        <v>60</v>
      </c>
      <c r="GL6" s="76" t="s">
        <v>74</v>
      </c>
      <c r="GM6" s="143" t="s">
        <v>60</v>
      </c>
    </row>
    <row r="7" spans="1:195" s="22" customFormat="1" thickBot="1" x14ac:dyDescent="0.25">
      <c r="A7" s="88">
        <v>1</v>
      </c>
      <c r="B7" s="92">
        <f t="shared" ref="B7:Y7" si="0">A7+1</f>
        <v>2</v>
      </c>
      <c r="C7" s="53">
        <f t="shared" si="0"/>
        <v>3</v>
      </c>
      <c r="D7" s="56">
        <f t="shared" si="0"/>
        <v>4</v>
      </c>
      <c r="E7" s="53">
        <f t="shared" si="0"/>
        <v>5</v>
      </c>
      <c r="F7" s="56">
        <f t="shared" si="0"/>
        <v>6</v>
      </c>
      <c r="G7" s="87">
        <f>F7+1</f>
        <v>7</v>
      </c>
      <c r="H7" s="54">
        <f t="shared" si="0"/>
        <v>8</v>
      </c>
      <c r="I7" s="54">
        <f t="shared" si="0"/>
        <v>9</v>
      </c>
      <c r="J7" s="99">
        <f>I7+1</f>
        <v>10</v>
      </c>
      <c r="K7" s="104">
        <f>J7+1</f>
        <v>11</v>
      </c>
      <c r="L7" s="55">
        <f t="shared" si="0"/>
        <v>12</v>
      </c>
      <c r="M7" s="53">
        <f>L7+1</f>
        <v>13</v>
      </c>
      <c r="N7" s="54">
        <f t="shared" si="0"/>
        <v>14</v>
      </c>
      <c r="O7" s="54">
        <f t="shared" si="0"/>
        <v>15</v>
      </c>
      <c r="P7" s="54">
        <f t="shared" si="0"/>
        <v>16</v>
      </c>
      <c r="Q7" s="56">
        <f t="shared" si="0"/>
        <v>17</v>
      </c>
      <c r="R7" s="53">
        <f t="shared" si="0"/>
        <v>18</v>
      </c>
      <c r="S7" s="54">
        <f t="shared" si="0"/>
        <v>19</v>
      </c>
      <c r="T7" s="54">
        <f>S7+1</f>
        <v>20</v>
      </c>
      <c r="U7" s="54">
        <f t="shared" si="0"/>
        <v>21</v>
      </c>
      <c r="V7" s="54">
        <f t="shared" si="0"/>
        <v>22</v>
      </c>
      <c r="W7" s="56">
        <f t="shared" si="0"/>
        <v>23</v>
      </c>
      <c r="X7" s="53">
        <f t="shared" si="0"/>
        <v>24</v>
      </c>
      <c r="Y7" s="54">
        <f t="shared" si="0"/>
        <v>25</v>
      </c>
      <c r="Z7" s="54">
        <f>Y7+1</f>
        <v>26</v>
      </c>
      <c r="AA7" s="54">
        <f t="shared" ref="AA7:BU7" si="1">Z7+1</f>
        <v>27</v>
      </c>
      <c r="AB7" s="54">
        <f t="shared" si="1"/>
        <v>28</v>
      </c>
      <c r="AC7" s="56">
        <f t="shared" si="1"/>
        <v>29</v>
      </c>
      <c r="AD7" s="53">
        <f t="shared" si="1"/>
        <v>30</v>
      </c>
      <c r="AE7" s="54">
        <f t="shared" si="1"/>
        <v>31</v>
      </c>
      <c r="AF7" s="54">
        <f>AE7+1</f>
        <v>32</v>
      </c>
      <c r="AG7" s="54">
        <f t="shared" si="1"/>
        <v>33</v>
      </c>
      <c r="AH7" s="54">
        <f t="shared" si="1"/>
        <v>34</v>
      </c>
      <c r="AI7" s="56">
        <f t="shared" si="1"/>
        <v>35</v>
      </c>
      <c r="AJ7" s="53">
        <f t="shared" si="1"/>
        <v>36</v>
      </c>
      <c r="AK7" s="54">
        <f t="shared" si="1"/>
        <v>37</v>
      </c>
      <c r="AL7" s="54">
        <f>AK7+1</f>
        <v>38</v>
      </c>
      <c r="AM7" s="54">
        <f t="shared" si="1"/>
        <v>39</v>
      </c>
      <c r="AN7" s="54">
        <f t="shared" si="1"/>
        <v>40</v>
      </c>
      <c r="AO7" s="56">
        <f t="shared" si="1"/>
        <v>41</v>
      </c>
      <c r="AP7" s="53">
        <f t="shared" si="1"/>
        <v>42</v>
      </c>
      <c r="AQ7" s="54">
        <f t="shared" si="1"/>
        <v>43</v>
      </c>
      <c r="AR7" s="54">
        <f>AQ7+1</f>
        <v>44</v>
      </c>
      <c r="AS7" s="54">
        <f t="shared" si="1"/>
        <v>45</v>
      </c>
      <c r="AT7" s="54">
        <f t="shared" si="1"/>
        <v>46</v>
      </c>
      <c r="AU7" s="56">
        <f t="shared" si="1"/>
        <v>47</v>
      </c>
      <c r="AV7" s="53">
        <f t="shared" si="1"/>
        <v>48</v>
      </c>
      <c r="AW7" s="54">
        <f t="shared" si="1"/>
        <v>49</v>
      </c>
      <c r="AX7" s="54">
        <f>AW7+1</f>
        <v>50</v>
      </c>
      <c r="AY7" s="54">
        <f t="shared" si="1"/>
        <v>51</v>
      </c>
      <c r="AZ7" s="54">
        <f t="shared" si="1"/>
        <v>52</v>
      </c>
      <c r="BA7" s="56">
        <f t="shared" si="1"/>
        <v>53</v>
      </c>
      <c r="BB7" s="53">
        <f t="shared" si="1"/>
        <v>54</v>
      </c>
      <c r="BC7" s="54">
        <f t="shared" si="1"/>
        <v>55</v>
      </c>
      <c r="BD7" s="54">
        <f>BC7+1</f>
        <v>56</v>
      </c>
      <c r="BE7" s="54">
        <f t="shared" si="1"/>
        <v>57</v>
      </c>
      <c r="BF7" s="54">
        <f t="shared" si="1"/>
        <v>58</v>
      </c>
      <c r="BG7" s="56">
        <f t="shared" si="1"/>
        <v>59</v>
      </c>
      <c r="BH7" s="53">
        <f t="shared" si="1"/>
        <v>60</v>
      </c>
      <c r="BI7" s="54">
        <f t="shared" si="1"/>
        <v>61</v>
      </c>
      <c r="BJ7" s="54">
        <f>BI7+1</f>
        <v>62</v>
      </c>
      <c r="BK7" s="54">
        <f t="shared" si="1"/>
        <v>63</v>
      </c>
      <c r="BL7" s="54">
        <f t="shared" si="1"/>
        <v>64</v>
      </c>
      <c r="BM7" s="56">
        <f t="shared" si="1"/>
        <v>65</v>
      </c>
      <c r="BN7" s="53">
        <f t="shared" si="1"/>
        <v>66</v>
      </c>
      <c r="BO7" s="54">
        <f t="shared" si="1"/>
        <v>67</v>
      </c>
      <c r="BP7" s="54">
        <f>BO7+1</f>
        <v>68</v>
      </c>
      <c r="BQ7" s="54">
        <f t="shared" si="1"/>
        <v>69</v>
      </c>
      <c r="BR7" s="54">
        <f t="shared" si="1"/>
        <v>70</v>
      </c>
      <c r="BS7" s="99">
        <f t="shared" si="1"/>
        <v>71</v>
      </c>
      <c r="BT7" s="53">
        <f t="shared" si="1"/>
        <v>72</v>
      </c>
      <c r="BU7" s="54">
        <f t="shared" si="1"/>
        <v>73</v>
      </c>
      <c r="BV7" s="54">
        <f>BU7+1</f>
        <v>74</v>
      </c>
      <c r="BW7" s="54">
        <f t="shared" ref="BW7:CA7" si="2">BV7+1</f>
        <v>75</v>
      </c>
      <c r="BX7" s="54">
        <f t="shared" si="2"/>
        <v>76</v>
      </c>
      <c r="BY7" s="99">
        <f t="shared" si="2"/>
        <v>77</v>
      </c>
      <c r="BZ7" s="53">
        <f t="shared" si="2"/>
        <v>78</v>
      </c>
      <c r="CA7" s="54">
        <f t="shared" si="2"/>
        <v>79</v>
      </c>
      <c r="CB7" s="54">
        <f>CA7+1</f>
        <v>80</v>
      </c>
      <c r="CC7" s="54">
        <f t="shared" ref="CC7:CG7" si="3">CB7+1</f>
        <v>81</v>
      </c>
      <c r="CD7" s="54">
        <f t="shared" si="3"/>
        <v>82</v>
      </c>
      <c r="CE7" s="99">
        <f t="shared" si="3"/>
        <v>83</v>
      </c>
      <c r="CF7" s="53">
        <f t="shared" si="3"/>
        <v>84</v>
      </c>
      <c r="CG7" s="54">
        <f t="shared" si="3"/>
        <v>85</v>
      </c>
      <c r="CH7" s="54">
        <f>CG7+1</f>
        <v>86</v>
      </c>
      <c r="CI7" s="54">
        <f t="shared" ref="CI7:CM7" si="4">CH7+1</f>
        <v>87</v>
      </c>
      <c r="CJ7" s="54">
        <f t="shared" si="4"/>
        <v>88</v>
      </c>
      <c r="CK7" s="99">
        <f t="shared" si="4"/>
        <v>89</v>
      </c>
      <c r="CL7" s="53">
        <f t="shared" si="4"/>
        <v>90</v>
      </c>
      <c r="CM7" s="54">
        <f t="shared" si="4"/>
        <v>91</v>
      </c>
      <c r="CN7" s="54">
        <f>CM7+1</f>
        <v>92</v>
      </c>
      <c r="CO7" s="54">
        <f t="shared" ref="CO7:CS7" si="5">CN7+1</f>
        <v>93</v>
      </c>
      <c r="CP7" s="54">
        <f t="shared" si="5"/>
        <v>94</v>
      </c>
      <c r="CQ7" s="99">
        <f t="shared" si="5"/>
        <v>95</v>
      </c>
      <c r="CR7" s="53">
        <f t="shared" si="5"/>
        <v>96</v>
      </c>
      <c r="CS7" s="54">
        <f t="shared" si="5"/>
        <v>97</v>
      </c>
      <c r="CT7" s="54">
        <f>CS7+1</f>
        <v>98</v>
      </c>
      <c r="CU7" s="54">
        <f t="shared" ref="CU7:CY7" si="6">CT7+1</f>
        <v>99</v>
      </c>
      <c r="CV7" s="54">
        <f t="shared" si="6"/>
        <v>100</v>
      </c>
      <c r="CW7" s="99">
        <f t="shared" si="6"/>
        <v>101</v>
      </c>
      <c r="CX7" s="53">
        <f t="shared" si="6"/>
        <v>102</v>
      </c>
      <c r="CY7" s="54">
        <f t="shared" si="6"/>
        <v>103</v>
      </c>
      <c r="CZ7" s="54">
        <f>CY7+1</f>
        <v>104</v>
      </c>
      <c r="DA7" s="54">
        <f t="shared" ref="DA7:DE7" si="7">CZ7+1</f>
        <v>105</v>
      </c>
      <c r="DB7" s="54">
        <f t="shared" si="7"/>
        <v>106</v>
      </c>
      <c r="DC7" s="99">
        <f t="shared" si="7"/>
        <v>107</v>
      </c>
      <c r="DD7" s="53">
        <f t="shared" si="7"/>
        <v>108</v>
      </c>
      <c r="DE7" s="54">
        <f t="shared" si="7"/>
        <v>109</v>
      </c>
      <c r="DF7" s="54">
        <f>DE7+1</f>
        <v>110</v>
      </c>
      <c r="DG7" s="54">
        <f t="shared" ref="DG7:DK7" si="8">DF7+1</f>
        <v>111</v>
      </c>
      <c r="DH7" s="54">
        <f t="shared" si="8"/>
        <v>112</v>
      </c>
      <c r="DI7" s="99">
        <f t="shared" si="8"/>
        <v>113</v>
      </c>
      <c r="DJ7" s="53">
        <f t="shared" si="8"/>
        <v>114</v>
      </c>
      <c r="DK7" s="54">
        <f t="shared" si="8"/>
        <v>115</v>
      </c>
      <c r="DL7" s="54">
        <f>DK7+1</f>
        <v>116</v>
      </c>
      <c r="DM7" s="54">
        <f t="shared" ref="DM7:DQ7" si="9">DL7+1</f>
        <v>117</v>
      </c>
      <c r="DN7" s="54">
        <f t="shared" si="9"/>
        <v>118</v>
      </c>
      <c r="DO7" s="99">
        <f t="shared" si="9"/>
        <v>119</v>
      </c>
      <c r="DP7" s="53">
        <f t="shared" si="9"/>
        <v>120</v>
      </c>
      <c r="DQ7" s="54">
        <f t="shared" si="9"/>
        <v>121</v>
      </c>
      <c r="DR7" s="54">
        <f>DQ7+1</f>
        <v>122</v>
      </c>
      <c r="DS7" s="54">
        <f t="shared" ref="DS7:DW7" si="10">DR7+1</f>
        <v>123</v>
      </c>
      <c r="DT7" s="54">
        <f t="shared" si="10"/>
        <v>124</v>
      </c>
      <c r="DU7" s="99">
        <f t="shared" si="10"/>
        <v>125</v>
      </c>
      <c r="DV7" s="53">
        <f t="shared" si="10"/>
        <v>126</v>
      </c>
      <c r="DW7" s="54">
        <f t="shared" si="10"/>
        <v>127</v>
      </c>
      <c r="DX7" s="54">
        <f>DW7+1</f>
        <v>128</v>
      </c>
      <c r="DY7" s="54">
        <f t="shared" ref="DY7:EC7" si="11">DX7+1</f>
        <v>129</v>
      </c>
      <c r="DZ7" s="54">
        <f t="shared" si="11"/>
        <v>130</v>
      </c>
      <c r="EA7" s="99">
        <f t="shared" si="11"/>
        <v>131</v>
      </c>
      <c r="EB7" s="53">
        <f t="shared" si="11"/>
        <v>132</v>
      </c>
      <c r="EC7" s="54">
        <f t="shared" si="11"/>
        <v>133</v>
      </c>
      <c r="ED7" s="54">
        <f>EC7+1</f>
        <v>134</v>
      </c>
      <c r="EE7" s="54">
        <f t="shared" ref="EE7:EI7" si="12">ED7+1</f>
        <v>135</v>
      </c>
      <c r="EF7" s="54">
        <f t="shared" si="12"/>
        <v>136</v>
      </c>
      <c r="EG7" s="99">
        <f t="shared" si="12"/>
        <v>137</v>
      </c>
      <c r="EH7" s="53">
        <f t="shared" si="12"/>
        <v>138</v>
      </c>
      <c r="EI7" s="54">
        <f t="shared" si="12"/>
        <v>139</v>
      </c>
      <c r="EJ7" s="54">
        <f>EI7+1</f>
        <v>140</v>
      </c>
      <c r="EK7" s="54">
        <f t="shared" ref="EK7:EO7" si="13">EJ7+1</f>
        <v>141</v>
      </c>
      <c r="EL7" s="54">
        <f t="shared" si="13"/>
        <v>142</v>
      </c>
      <c r="EM7" s="99">
        <f t="shared" si="13"/>
        <v>143</v>
      </c>
      <c r="EN7" s="53">
        <f t="shared" si="13"/>
        <v>144</v>
      </c>
      <c r="EO7" s="54">
        <f t="shared" si="13"/>
        <v>145</v>
      </c>
      <c r="EP7" s="54">
        <f>EO7+1</f>
        <v>146</v>
      </c>
      <c r="EQ7" s="54">
        <f t="shared" ref="EQ7:EU7" si="14">EP7+1</f>
        <v>147</v>
      </c>
      <c r="ER7" s="54">
        <f t="shared" si="14"/>
        <v>148</v>
      </c>
      <c r="ES7" s="99">
        <f t="shared" si="14"/>
        <v>149</v>
      </c>
      <c r="ET7" s="53">
        <f t="shared" si="14"/>
        <v>150</v>
      </c>
      <c r="EU7" s="54">
        <f t="shared" si="14"/>
        <v>151</v>
      </c>
      <c r="EV7" s="54">
        <f>EU7+1</f>
        <v>152</v>
      </c>
      <c r="EW7" s="54">
        <f t="shared" ref="EW7:FA7" si="15">EV7+1</f>
        <v>153</v>
      </c>
      <c r="EX7" s="54">
        <f t="shared" si="15"/>
        <v>154</v>
      </c>
      <c r="EY7" s="99">
        <f t="shared" si="15"/>
        <v>155</v>
      </c>
      <c r="EZ7" s="53">
        <f t="shared" si="15"/>
        <v>156</v>
      </c>
      <c r="FA7" s="54">
        <f t="shared" si="15"/>
        <v>157</v>
      </c>
      <c r="FB7" s="54">
        <f>FA7+1</f>
        <v>158</v>
      </c>
      <c r="FC7" s="54">
        <f t="shared" ref="FC7:FG7" si="16">FB7+1</f>
        <v>159</v>
      </c>
      <c r="FD7" s="54">
        <f t="shared" si="16"/>
        <v>160</v>
      </c>
      <c r="FE7" s="99">
        <f t="shared" si="16"/>
        <v>161</v>
      </c>
      <c r="FF7" s="53">
        <f t="shared" si="16"/>
        <v>162</v>
      </c>
      <c r="FG7" s="54">
        <f t="shared" si="16"/>
        <v>163</v>
      </c>
      <c r="FH7" s="54">
        <f>FG7+1</f>
        <v>164</v>
      </c>
      <c r="FI7" s="54">
        <f t="shared" ref="FI7:FM7" si="17">FH7+1</f>
        <v>165</v>
      </c>
      <c r="FJ7" s="54">
        <f t="shared" si="17"/>
        <v>166</v>
      </c>
      <c r="FK7" s="99">
        <f t="shared" si="17"/>
        <v>167</v>
      </c>
      <c r="FL7" s="53">
        <f t="shared" si="17"/>
        <v>168</v>
      </c>
      <c r="FM7" s="54">
        <f t="shared" si="17"/>
        <v>169</v>
      </c>
      <c r="FN7" s="54">
        <f>FM7+1</f>
        <v>170</v>
      </c>
      <c r="FO7" s="54">
        <f t="shared" ref="FO7:FS7" si="18">FN7+1</f>
        <v>171</v>
      </c>
      <c r="FP7" s="54">
        <f t="shared" si="18"/>
        <v>172</v>
      </c>
      <c r="FQ7" s="99">
        <f t="shared" si="18"/>
        <v>173</v>
      </c>
      <c r="FR7" s="53">
        <f t="shared" si="18"/>
        <v>174</v>
      </c>
      <c r="FS7" s="54">
        <f t="shared" si="18"/>
        <v>175</v>
      </c>
      <c r="FT7" s="54">
        <f>FS7+1</f>
        <v>176</v>
      </c>
      <c r="FU7" s="54">
        <f t="shared" ref="FU7:FY7" si="19">FT7+1</f>
        <v>177</v>
      </c>
      <c r="FV7" s="54">
        <f t="shared" si="19"/>
        <v>178</v>
      </c>
      <c r="FW7" s="99">
        <f t="shared" si="19"/>
        <v>179</v>
      </c>
      <c r="FX7" s="53">
        <f t="shared" si="19"/>
        <v>180</v>
      </c>
      <c r="FY7" s="54">
        <f t="shared" si="19"/>
        <v>181</v>
      </c>
      <c r="FZ7" s="54">
        <f>FY7+1</f>
        <v>182</v>
      </c>
      <c r="GA7" s="54">
        <f t="shared" ref="GA7:GE7" si="20">FZ7+1</f>
        <v>183</v>
      </c>
      <c r="GB7" s="54">
        <f t="shared" si="20"/>
        <v>184</v>
      </c>
      <c r="GC7" s="99">
        <f t="shared" si="20"/>
        <v>185</v>
      </c>
      <c r="GD7" s="53">
        <f t="shared" si="20"/>
        <v>186</v>
      </c>
      <c r="GE7" s="54">
        <f t="shared" si="20"/>
        <v>187</v>
      </c>
      <c r="GF7" s="54">
        <f>GE7+1</f>
        <v>188</v>
      </c>
      <c r="GG7" s="54">
        <f t="shared" ref="GG7:GI7" si="21">GF7+1</f>
        <v>189</v>
      </c>
      <c r="GH7" s="54">
        <f t="shared" si="21"/>
        <v>190</v>
      </c>
      <c r="GI7" s="99">
        <f t="shared" si="21"/>
        <v>191</v>
      </c>
      <c r="GJ7" s="55">
        <f>GI7+1</f>
        <v>192</v>
      </c>
      <c r="GK7" s="144">
        <f>GJ7+1</f>
        <v>193</v>
      </c>
      <c r="GL7" s="77">
        <f>GK7+1</f>
        <v>194</v>
      </c>
      <c r="GM7" s="144">
        <f>GL7+1</f>
        <v>195</v>
      </c>
    </row>
    <row r="8" spans="1:195" s="23" customFormat="1" thickBot="1" x14ac:dyDescent="0.25">
      <c r="A8" s="89" t="s">
        <v>3</v>
      </c>
      <c r="B8" s="93" t="s">
        <v>4</v>
      </c>
      <c r="C8" s="48" t="s">
        <v>49</v>
      </c>
      <c r="D8" s="52" t="s">
        <v>4</v>
      </c>
      <c r="E8" s="48" t="s">
        <v>49</v>
      </c>
      <c r="F8" s="52" t="s">
        <v>4</v>
      </c>
      <c r="G8" s="51" t="s">
        <v>5</v>
      </c>
      <c r="H8" s="49" t="s">
        <v>4</v>
      </c>
      <c r="I8" s="49" t="s">
        <v>50</v>
      </c>
      <c r="J8" s="100" t="s">
        <v>68</v>
      </c>
      <c r="K8" s="105" t="s">
        <v>50</v>
      </c>
      <c r="L8" s="50" t="s">
        <v>4</v>
      </c>
      <c r="M8" s="48" t="s">
        <v>50</v>
      </c>
      <c r="N8" s="49" t="s">
        <v>50</v>
      </c>
      <c r="O8" s="49" t="s">
        <v>50</v>
      </c>
      <c r="P8" s="49" t="s">
        <v>4</v>
      </c>
      <c r="Q8" s="52" t="s">
        <v>4</v>
      </c>
      <c r="R8" s="48" t="s">
        <v>4</v>
      </c>
      <c r="S8" s="49" t="s">
        <v>50</v>
      </c>
      <c r="T8" s="49" t="s">
        <v>50</v>
      </c>
      <c r="U8" s="49" t="s">
        <v>50</v>
      </c>
      <c r="V8" s="49" t="s">
        <v>4</v>
      </c>
      <c r="W8" s="52" t="s">
        <v>4</v>
      </c>
      <c r="X8" s="48" t="s">
        <v>4</v>
      </c>
      <c r="Y8" s="49" t="s">
        <v>50</v>
      </c>
      <c r="Z8" s="49" t="s">
        <v>50</v>
      </c>
      <c r="AA8" s="49" t="s">
        <v>50</v>
      </c>
      <c r="AB8" s="49" t="s">
        <v>4</v>
      </c>
      <c r="AC8" s="52" t="s">
        <v>4</v>
      </c>
      <c r="AD8" s="48" t="s">
        <v>4</v>
      </c>
      <c r="AE8" s="49" t="s">
        <v>50</v>
      </c>
      <c r="AF8" s="49" t="s">
        <v>50</v>
      </c>
      <c r="AG8" s="49" t="s">
        <v>50</v>
      </c>
      <c r="AH8" s="49" t="s">
        <v>4</v>
      </c>
      <c r="AI8" s="52" t="s">
        <v>4</v>
      </c>
      <c r="AJ8" s="48" t="s">
        <v>4</v>
      </c>
      <c r="AK8" s="49" t="s">
        <v>50</v>
      </c>
      <c r="AL8" s="49" t="s">
        <v>50</v>
      </c>
      <c r="AM8" s="49" t="s">
        <v>50</v>
      </c>
      <c r="AN8" s="49" t="s">
        <v>4</v>
      </c>
      <c r="AO8" s="52" t="s">
        <v>4</v>
      </c>
      <c r="AP8" s="48" t="s">
        <v>4</v>
      </c>
      <c r="AQ8" s="49" t="s">
        <v>50</v>
      </c>
      <c r="AR8" s="49" t="s">
        <v>50</v>
      </c>
      <c r="AS8" s="49" t="s">
        <v>50</v>
      </c>
      <c r="AT8" s="49" t="s">
        <v>4</v>
      </c>
      <c r="AU8" s="52" t="s">
        <v>4</v>
      </c>
      <c r="AV8" s="48" t="s">
        <v>4</v>
      </c>
      <c r="AW8" s="49" t="s">
        <v>50</v>
      </c>
      <c r="AX8" s="49" t="s">
        <v>50</v>
      </c>
      <c r="AY8" s="49" t="s">
        <v>50</v>
      </c>
      <c r="AZ8" s="49" t="s">
        <v>4</v>
      </c>
      <c r="BA8" s="52" t="s">
        <v>4</v>
      </c>
      <c r="BB8" s="48" t="s">
        <v>4</v>
      </c>
      <c r="BC8" s="49" t="s">
        <v>50</v>
      </c>
      <c r="BD8" s="49" t="s">
        <v>50</v>
      </c>
      <c r="BE8" s="49" t="s">
        <v>50</v>
      </c>
      <c r="BF8" s="49" t="s">
        <v>4</v>
      </c>
      <c r="BG8" s="52" t="s">
        <v>4</v>
      </c>
      <c r="BH8" s="48" t="s">
        <v>4</v>
      </c>
      <c r="BI8" s="49" t="s">
        <v>50</v>
      </c>
      <c r="BJ8" s="49" t="s">
        <v>50</v>
      </c>
      <c r="BK8" s="49" t="s">
        <v>50</v>
      </c>
      <c r="BL8" s="49" t="s">
        <v>4</v>
      </c>
      <c r="BM8" s="52" t="s">
        <v>4</v>
      </c>
      <c r="BN8" s="48" t="s">
        <v>4</v>
      </c>
      <c r="BO8" s="49" t="s">
        <v>50</v>
      </c>
      <c r="BP8" s="49" t="s">
        <v>50</v>
      </c>
      <c r="BQ8" s="49" t="s">
        <v>50</v>
      </c>
      <c r="BR8" s="49" t="s">
        <v>4</v>
      </c>
      <c r="BS8" s="100" t="s">
        <v>4</v>
      </c>
      <c r="BT8" s="48" t="s">
        <v>4</v>
      </c>
      <c r="BU8" s="49" t="s">
        <v>50</v>
      </c>
      <c r="BV8" s="49" t="s">
        <v>50</v>
      </c>
      <c r="BW8" s="49" t="s">
        <v>50</v>
      </c>
      <c r="BX8" s="49" t="s">
        <v>4</v>
      </c>
      <c r="BY8" s="100" t="s">
        <v>4</v>
      </c>
      <c r="BZ8" s="48" t="s">
        <v>4</v>
      </c>
      <c r="CA8" s="49" t="s">
        <v>50</v>
      </c>
      <c r="CB8" s="49" t="s">
        <v>50</v>
      </c>
      <c r="CC8" s="49" t="s">
        <v>50</v>
      </c>
      <c r="CD8" s="49" t="s">
        <v>4</v>
      </c>
      <c r="CE8" s="100" t="s">
        <v>4</v>
      </c>
      <c r="CF8" s="48" t="s">
        <v>4</v>
      </c>
      <c r="CG8" s="49" t="s">
        <v>50</v>
      </c>
      <c r="CH8" s="49" t="s">
        <v>50</v>
      </c>
      <c r="CI8" s="49" t="s">
        <v>50</v>
      </c>
      <c r="CJ8" s="49" t="s">
        <v>4</v>
      </c>
      <c r="CK8" s="100" t="s">
        <v>4</v>
      </c>
      <c r="CL8" s="48" t="s">
        <v>4</v>
      </c>
      <c r="CM8" s="49" t="s">
        <v>50</v>
      </c>
      <c r="CN8" s="49" t="s">
        <v>50</v>
      </c>
      <c r="CO8" s="49" t="s">
        <v>50</v>
      </c>
      <c r="CP8" s="49" t="s">
        <v>4</v>
      </c>
      <c r="CQ8" s="100" t="s">
        <v>4</v>
      </c>
      <c r="CR8" s="48" t="s">
        <v>4</v>
      </c>
      <c r="CS8" s="49" t="s">
        <v>50</v>
      </c>
      <c r="CT8" s="49" t="s">
        <v>50</v>
      </c>
      <c r="CU8" s="49" t="s">
        <v>50</v>
      </c>
      <c r="CV8" s="49" t="s">
        <v>4</v>
      </c>
      <c r="CW8" s="100" t="s">
        <v>4</v>
      </c>
      <c r="CX8" s="48" t="s">
        <v>4</v>
      </c>
      <c r="CY8" s="49" t="s">
        <v>50</v>
      </c>
      <c r="CZ8" s="49" t="s">
        <v>50</v>
      </c>
      <c r="DA8" s="49" t="s">
        <v>50</v>
      </c>
      <c r="DB8" s="49" t="s">
        <v>4</v>
      </c>
      <c r="DC8" s="100" t="s">
        <v>4</v>
      </c>
      <c r="DD8" s="48" t="s">
        <v>4</v>
      </c>
      <c r="DE8" s="49" t="s">
        <v>50</v>
      </c>
      <c r="DF8" s="49" t="s">
        <v>50</v>
      </c>
      <c r="DG8" s="49" t="s">
        <v>50</v>
      </c>
      <c r="DH8" s="49" t="s">
        <v>4</v>
      </c>
      <c r="DI8" s="100" t="s">
        <v>4</v>
      </c>
      <c r="DJ8" s="48" t="s">
        <v>4</v>
      </c>
      <c r="DK8" s="49" t="s">
        <v>50</v>
      </c>
      <c r="DL8" s="49" t="s">
        <v>50</v>
      </c>
      <c r="DM8" s="49" t="s">
        <v>50</v>
      </c>
      <c r="DN8" s="49" t="s">
        <v>4</v>
      </c>
      <c r="DO8" s="100" t="s">
        <v>4</v>
      </c>
      <c r="DP8" s="48" t="s">
        <v>4</v>
      </c>
      <c r="DQ8" s="49" t="s">
        <v>50</v>
      </c>
      <c r="DR8" s="49" t="s">
        <v>50</v>
      </c>
      <c r="DS8" s="49" t="s">
        <v>50</v>
      </c>
      <c r="DT8" s="49" t="s">
        <v>4</v>
      </c>
      <c r="DU8" s="100" t="s">
        <v>4</v>
      </c>
      <c r="DV8" s="48" t="s">
        <v>4</v>
      </c>
      <c r="DW8" s="49" t="s">
        <v>50</v>
      </c>
      <c r="DX8" s="49" t="s">
        <v>50</v>
      </c>
      <c r="DY8" s="49" t="s">
        <v>50</v>
      </c>
      <c r="DZ8" s="150" t="s">
        <v>4</v>
      </c>
      <c r="EA8" s="100" t="s">
        <v>4</v>
      </c>
      <c r="EB8" s="48" t="s">
        <v>4</v>
      </c>
      <c r="EC8" s="49" t="s">
        <v>50</v>
      </c>
      <c r="ED8" s="49" t="s">
        <v>50</v>
      </c>
      <c r="EE8" s="49" t="s">
        <v>50</v>
      </c>
      <c r="EF8" s="150" t="s">
        <v>4</v>
      </c>
      <c r="EG8" s="100" t="s">
        <v>4</v>
      </c>
      <c r="EH8" s="48" t="s">
        <v>4</v>
      </c>
      <c r="EI8" s="49" t="s">
        <v>50</v>
      </c>
      <c r="EJ8" s="49" t="s">
        <v>50</v>
      </c>
      <c r="EK8" s="49" t="s">
        <v>50</v>
      </c>
      <c r="EL8" s="150" t="s">
        <v>4</v>
      </c>
      <c r="EM8" s="100" t="s">
        <v>4</v>
      </c>
      <c r="EN8" s="32" t="s">
        <v>4</v>
      </c>
      <c r="EO8" s="33" t="s">
        <v>50</v>
      </c>
      <c r="EP8" s="33" t="s">
        <v>50</v>
      </c>
      <c r="EQ8" s="33" t="s">
        <v>50</v>
      </c>
      <c r="ER8" s="33" t="s">
        <v>4</v>
      </c>
      <c r="ES8" s="34" t="s">
        <v>4</v>
      </c>
      <c r="ET8" s="48" t="s">
        <v>4</v>
      </c>
      <c r="EU8" s="49" t="s">
        <v>50</v>
      </c>
      <c r="EV8" s="49" t="s">
        <v>50</v>
      </c>
      <c r="EW8" s="49" t="s">
        <v>50</v>
      </c>
      <c r="EX8" s="150" t="s">
        <v>4</v>
      </c>
      <c r="EY8" s="100" t="s">
        <v>4</v>
      </c>
      <c r="EZ8" s="48" t="s">
        <v>4</v>
      </c>
      <c r="FA8" s="49" t="s">
        <v>50</v>
      </c>
      <c r="FB8" s="49" t="s">
        <v>50</v>
      </c>
      <c r="FC8" s="49" t="s">
        <v>50</v>
      </c>
      <c r="FD8" s="150" t="s">
        <v>4</v>
      </c>
      <c r="FE8" s="100" t="s">
        <v>4</v>
      </c>
      <c r="FF8" s="48" t="s">
        <v>4</v>
      </c>
      <c r="FG8" s="49" t="s">
        <v>50</v>
      </c>
      <c r="FH8" s="49" t="s">
        <v>50</v>
      </c>
      <c r="FI8" s="49" t="s">
        <v>50</v>
      </c>
      <c r="FJ8" s="150" t="s">
        <v>4</v>
      </c>
      <c r="FK8" s="100" t="s">
        <v>4</v>
      </c>
      <c r="FL8" s="48" t="s">
        <v>4</v>
      </c>
      <c r="FM8" s="49" t="s">
        <v>50</v>
      </c>
      <c r="FN8" s="49" t="s">
        <v>50</v>
      </c>
      <c r="FO8" s="49" t="s">
        <v>50</v>
      </c>
      <c r="FP8" s="150" t="s">
        <v>4</v>
      </c>
      <c r="FQ8" s="100" t="s">
        <v>4</v>
      </c>
      <c r="FR8" s="48" t="s">
        <v>4</v>
      </c>
      <c r="FS8" s="49" t="s">
        <v>50</v>
      </c>
      <c r="FT8" s="49" t="s">
        <v>50</v>
      </c>
      <c r="FU8" s="49" t="s">
        <v>50</v>
      </c>
      <c r="FV8" s="150" t="s">
        <v>4</v>
      </c>
      <c r="FW8" s="100" t="s">
        <v>4</v>
      </c>
      <c r="FX8" s="48" t="s">
        <v>4</v>
      </c>
      <c r="FY8" s="49" t="s">
        <v>50</v>
      </c>
      <c r="FZ8" s="49" t="s">
        <v>50</v>
      </c>
      <c r="GA8" s="49" t="s">
        <v>50</v>
      </c>
      <c r="GB8" s="150" t="s">
        <v>4</v>
      </c>
      <c r="GC8" s="100" t="s">
        <v>4</v>
      </c>
      <c r="GD8" s="48" t="s">
        <v>4</v>
      </c>
      <c r="GE8" s="49" t="s">
        <v>50</v>
      </c>
      <c r="GF8" s="49" t="s">
        <v>50</v>
      </c>
      <c r="GG8" s="49" t="s">
        <v>50</v>
      </c>
      <c r="GH8" s="150" t="s">
        <v>4</v>
      </c>
      <c r="GI8" s="100" t="s">
        <v>4</v>
      </c>
      <c r="GJ8" s="147" t="s">
        <v>4</v>
      </c>
      <c r="GK8" s="146" t="s">
        <v>4</v>
      </c>
      <c r="GL8" s="78" t="s">
        <v>50</v>
      </c>
      <c r="GM8" s="146" t="s">
        <v>4</v>
      </c>
    </row>
    <row r="9" spans="1:195" s="20" customFormat="1" x14ac:dyDescent="0.25">
      <c r="A9" s="158" t="s">
        <v>172</v>
      </c>
      <c r="B9" s="129" t="s">
        <v>8</v>
      </c>
      <c r="C9" s="129" t="s">
        <v>8</v>
      </c>
      <c r="D9" s="129" t="s">
        <v>8</v>
      </c>
      <c r="E9" s="129" t="s">
        <v>8</v>
      </c>
      <c r="F9" s="129" t="s">
        <v>8</v>
      </c>
      <c r="G9" s="94">
        <f>'Исходные данные'!C11</f>
        <v>884</v>
      </c>
      <c r="H9" s="42">
        <f>'Исходные данные'!E11</f>
        <v>1008084</v>
      </c>
      <c r="I9" s="43">
        <f>'Расчет КРП'!G7</f>
        <v>3.1897625798420228</v>
      </c>
      <c r="J9" s="101" t="s">
        <v>8</v>
      </c>
      <c r="K9" s="132">
        <f t="shared" ref="K9:K25" si="22">((H9/G9)/($H$26/$G$26))/I9</f>
        <v>0.20058359039276535</v>
      </c>
      <c r="L9" s="133">
        <f t="shared" ref="L9:L25" si="23">$D$26*G9/$G$26</f>
        <v>78701.917840326452</v>
      </c>
      <c r="M9" s="137">
        <f t="shared" ref="M9:M25" si="24">(((H9+L9)/G9)/$J$26)/I9</f>
        <v>0.21624331046689521</v>
      </c>
      <c r="N9" s="138" t="s">
        <v>8</v>
      </c>
      <c r="O9" s="139">
        <f t="shared" ref="O9:O25" si="25">$N$26-M9</f>
        <v>5.471380355048866E-2</v>
      </c>
      <c r="P9" s="151">
        <f t="shared" ref="P9:P25" si="26">IF(O9&gt;0,G9*I9*(($H$26+$L$26)/$G$26)*O9,0)</f>
        <v>288713.55348801427</v>
      </c>
      <c r="Q9" s="140">
        <f t="shared" ref="Q9:Q25" si="27">IF(($F$26-P$26)&gt;0,P9,$F$26*P9/P$26)</f>
        <v>288713.55348801427</v>
      </c>
      <c r="R9" s="134" t="s">
        <v>8</v>
      </c>
      <c r="S9" s="41" t="s">
        <v>8</v>
      </c>
      <c r="T9" s="45">
        <f t="shared" ref="T9:T25" si="28">(((H9+L9+Q9)/G9)/$J$26)/I9</f>
        <v>0.27369011167957152</v>
      </c>
      <c r="U9" s="44">
        <f t="shared" ref="U9:U25" si="29">S$26-T9</f>
        <v>7.1931229350464809E-2</v>
      </c>
      <c r="V9" s="46">
        <f t="shared" ref="V9:V25" si="30">IF(U9&gt;0,$G9*$I9*(($H$26+$L$26+$Q$26)/$G$26)*U9,0)</f>
        <v>434451.97532086243</v>
      </c>
      <c r="W9" s="72">
        <f t="shared" ref="W9:W25" si="31">IF((R$26-V$26)&gt;0,V9,R$26*V9/V$26)</f>
        <v>434451.97532086243</v>
      </c>
      <c r="X9" s="68" t="s">
        <v>8</v>
      </c>
      <c r="Y9" s="41" t="s">
        <v>8</v>
      </c>
      <c r="Z9" s="45">
        <f t="shared" ref="Z9:Z25" si="32">(((H9+L9+Q9+W9)/G9)/$J$26)/I9</f>
        <v>0.36013522643497647</v>
      </c>
      <c r="AA9" s="44">
        <f t="shared" ref="AA9:AA25" si="33">Y$26-Z9</f>
        <v>4.9532106117396113E-2</v>
      </c>
      <c r="AB9" s="46">
        <f t="shared" ref="AB9:AB25" si="34">IF(AA9&gt;0,$G9*$I9*(($H$26+$L$26+$Q$26+$W$26)/$G$26)*AA9,0)</f>
        <v>331404.65296059154</v>
      </c>
      <c r="AC9" s="72">
        <f t="shared" ref="AC9:AC25" si="35">IF((X$26-AB$26)&gt;0,AB9,X$26*AB9/AB$26)</f>
        <v>331404.65296059154</v>
      </c>
      <c r="AD9" s="68" t="s">
        <v>8</v>
      </c>
      <c r="AE9" s="41" t="s">
        <v>8</v>
      </c>
      <c r="AF9" s="45">
        <f t="shared" ref="AF9:AF25" si="36">(((H9+L9+Q9+W9+AC9)/G9)/$J$26)/I9</f>
        <v>0.42607649240458206</v>
      </c>
      <c r="AG9" s="44">
        <f t="shared" ref="AG9:AG25" si="37">AE$26-AF9</f>
        <v>4.0328167498106582E-2</v>
      </c>
      <c r="AH9" s="46">
        <f t="shared" ref="AH9:AH25" si="38">IF(AG9&gt;0,$G9*$I9*(($H$26+$L$26+$Q$26+$W$26+$AC$26)/$G$26)*AG9,0)</f>
        <v>293314.292754361</v>
      </c>
      <c r="AI9" s="72">
        <f t="shared" ref="AI9:AI25" si="39">IF((AD$26-AH$26)&gt;0,AH9,AD$26*AH9/AH$26)</f>
        <v>293314.292754361</v>
      </c>
      <c r="AJ9" s="68" t="s">
        <v>8</v>
      </c>
      <c r="AK9" s="41" t="s">
        <v>8</v>
      </c>
      <c r="AL9" s="45">
        <f t="shared" ref="AL9:AL25" si="40">(((H9+L9+Q9+W9+AC9+AI9)/G9)/$J$26)/I9</f>
        <v>0.48443872606188088</v>
      </c>
      <c r="AM9" s="44">
        <f t="shared" ref="AM9:AM25" si="41">AK$26-AL9</f>
        <v>3.3597803473286336E-2</v>
      </c>
      <c r="AN9" s="46">
        <f t="shared" ref="AN9:AN25" si="42">IF(AM9&gt;0,$G9*$I9*(($H$26+$L$26+$Q$26+$W$26+$AC$26+$AI$26)/$G$26)*AM9,0)</f>
        <v>262213.67380447907</v>
      </c>
      <c r="AO9" s="72">
        <f t="shared" ref="AO9:AO25" si="43">IF((AJ$26-AN$26)&gt;0,AN9,AJ$26*AN9/AN$26)</f>
        <v>262213.67380447907</v>
      </c>
      <c r="AP9" s="68" t="s">
        <v>8</v>
      </c>
      <c r="AQ9" s="41" t="s">
        <v>8</v>
      </c>
      <c r="AR9" s="45">
        <f t="shared" ref="AR9:AR25" si="44">(((H9+L9+Q9+W9+AC9+AI9+AO9)/G9)/$J$26)/I9</f>
        <v>0.53661271170373193</v>
      </c>
      <c r="AS9" s="44">
        <f t="shared" ref="AS9:AS25" si="45">AQ$26-AR9</f>
        <v>2.7918579209630701E-2</v>
      </c>
      <c r="AT9" s="46">
        <f t="shared" ref="AT9:AT25" si="46">IF(AS9&gt;0,$G9*$I9*(($H$26+$L$26+$Q$26+$W$26+$AC$26+$AI$26+$AO$26)/$G$26)*AS9,0)</f>
        <v>231252.06754631418</v>
      </c>
      <c r="AU9" s="72">
        <f t="shared" ref="AU9:AU25" si="47">IF((AP$26-AT$26)&gt;0,AT9,AP$26*AT9/AT$26)</f>
        <v>231252.06754631418</v>
      </c>
      <c r="AV9" s="68" t="s">
        <v>8</v>
      </c>
      <c r="AW9" s="41" t="s">
        <v>8</v>
      </c>
      <c r="AX9" s="45">
        <f t="shared" ref="AX9:AX25" si="48">(((H9+L9+Q9+W9+AC9+AI9+AO9+AU9)/G9)/$J$26)/I9</f>
        <v>0.58262610939101789</v>
      </c>
      <c r="AY9" s="44">
        <f t="shared" ref="AY9:AY25" si="49">AW$26-AX9</f>
        <v>2.2736803869920275E-2</v>
      </c>
      <c r="AZ9" s="46">
        <f t="shared" ref="AZ9:AZ25" si="50">IF(AY9&gt;0,$G9*$I9*(($H$26+$L$26+$Q$26+$W$26+$AC$26+$AI$26+$AO$26+$AU$26)/$G$26)*AY9,0)</f>
        <v>197885.52015321862</v>
      </c>
      <c r="BA9" s="72">
        <f t="shared" ref="BA9:BA25" si="51">IF((AV$26-AZ$26)&gt;0,AZ9,AV$26*AZ9/AZ$26)</f>
        <v>197885.52015321862</v>
      </c>
      <c r="BB9" s="68" t="s">
        <v>8</v>
      </c>
      <c r="BC9" s="41" t="s">
        <v>8</v>
      </c>
      <c r="BD9" s="45">
        <f t="shared" ref="BD9:BD25" si="52">(((H9+L9+Q9+W9+AC9+AI9+AO9+AU9+BA9)/G9)/$J$26)/I9</f>
        <v>0.62200039577893051</v>
      </c>
      <c r="BE9" s="44">
        <f t="shared" ref="BE9:BE25" si="53">BC$26-BD9</f>
        <v>2.1329726362701473E-2</v>
      </c>
      <c r="BF9" s="46">
        <f t="shared" ref="BF9:BF25" si="54">IF(BE9&gt;0,$G9*$I9*(($H$26+$L$26+$Q$26+$W$26+$AC$26+$AI$26+$AO$26+$AU$26+$BA$26)/$G$26)*BE9,0)</f>
        <v>199912.1995235371</v>
      </c>
      <c r="BG9" s="72">
        <f t="shared" ref="BG9:BG25" si="55">IF((BB$26-BF$26)&gt;0,BF9,BB$26*BF9/BF$26)</f>
        <v>199912.1995235371</v>
      </c>
      <c r="BH9" s="68" t="s">
        <v>8</v>
      </c>
      <c r="BI9" s="41" t="s">
        <v>8</v>
      </c>
      <c r="BJ9" s="45">
        <f t="shared" ref="BJ9:BJ25" si="56">(((H9+L9+Q9+W9+AC9+AI9+AO9+AU9+BA9+BG9)/G9)/$J$26)/I9</f>
        <v>0.66177794084833541</v>
      </c>
      <c r="BK9" s="44">
        <f t="shared" ref="BK9:BK25" si="57">BI$26-BJ9</f>
        <v>1.8504919093636829E-2</v>
      </c>
      <c r="BL9" s="46">
        <f t="shared" ref="BL9:BL25" si="58">IF(BK9&gt;0,$G9*$I9*(($H$26+$L$26+$Q$26+$W$26+$AC$26+$AI$26+$AO$26+$AU$26+$BA$26+$BG$26)/$G$26)*BK9,0)</f>
        <v>183352.77069164315</v>
      </c>
      <c r="BM9" s="72">
        <f t="shared" ref="BM9:BM25" si="59">IF((BH$26-BL$26)&gt;0,BL9,BH$26*BL9/BL$26)</f>
        <v>41967.2924897224</v>
      </c>
      <c r="BN9" s="68" t="s">
        <v>8</v>
      </c>
      <c r="BO9" s="41" t="s">
        <v>8</v>
      </c>
      <c r="BP9" s="45">
        <f t="shared" ref="BP9:BP25" si="60">(((H9+L9+Q9+W9+AC9+AI9+AO9+AU9+BA9+BG9+BM9)/G9)/$J$26)/I9</f>
        <v>0.67012838605592917</v>
      </c>
      <c r="BQ9" s="44">
        <f t="shared" ref="BQ9:BQ25" si="61">BO$26-BP9</f>
        <v>1.8169701400154725E-2</v>
      </c>
      <c r="BR9" s="46">
        <f t="shared" ref="BR9:BR25" si="62">IF(BQ9&gt;0,$G9*$I9*(($H$26+$L$26+$Q$26+$W$26+$AC$26+$AI$26+$AO$26+$AU$26+$BA$26+$BG$26+$BM$26)/$G$26)*BQ9,0)</f>
        <v>182543.06321433038</v>
      </c>
      <c r="BS9" s="112">
        <f t="shared" ref="BS9:BS25" si="63">IF((BN$26-BR$26)&gt;0,BR9,BN$26*BR9/BR$26)</f>
        <v>0</v>
      </c>
      <c r="BT9" s="68" t="s">
        <v>8</v>
      </c>
      <c r="BU9" s="41" t="s">
        <v>8</v>
      </c>
      <c r="BV9" s="45">
        <f t="shared" ref="BV9:BV25" si="64">(((H9+L9+Q9+W9+AC9+AI9+AO9+AU9+BA9+BG9+BM9+BS9)/G9)/$J$26)/I9</f>
        <v>0.67012838605592917</v>
      </c>
      <c r="BW9" s="44">
        <f t="shared" ref="BW9:BW25" si="65">BU$26-BV9</f>
        <v>1.8169701400154725E-2</v>
      </c>
      <c r="BX9" s="46">
        <f t="shared" ref="BX9:BX25" si="66">IF(BW9&gt;0,$G9*$I9*(($H$26+$L$26+$Q$26+$W$26+$AC$26+$AI$26+$AO$26+$AU$26+$BA$26+$BG$26+$BM$26+$BS$26)/$G$26)*BW9,0)</f>
        <v>182543.06321433038</v>
      </c>
      <c r="BY9" s="112">
        <f t="shared" ref="BY9:BY25" si="67">IF((BT$26-BX$26)&gt;0,BX9,BT$26*BX9/BX$26)</f>
        <v>0</v>
      </c>
      <c r="BZ9" s="68" t="s">
        <v>8</v>
      </c>
      <c r="CA9" s="41" t="s">
        <v>8</v>
      </c>
      <c r="CB9" s="45">
        <f t="shared" ref="CB9:CB25" si="68">(((H9+L9+Q9+W9+AC9+AI9+AO9+AU9+BA9+BG9+BM9+BS9+BY9)/G9)/$J$26)/I9</f>
        <v>0.67012838605592917</v>
      </c>
      <c r="CC9" s="44">
        <f t="shared" ref="CC9:CC25" si="69">CA$26-CB9</f>
        <v>1.8169701400154725E-2</v>
      </c>
      <c r="CD9" s="46">
        <f t="shared" ref="CD9:CD25" si="70">IF(CC9&gt;0,$G9*$I9*(($H$26+$L$26+$Q$26+$W$26+$AC$26+$AI$26+$AO$26+$AU$26+$BA$26+$BG$26+$BM$26+$BS$26+$BY$26)/$G$26)*CC9,0)</f>
        <v>182543.06321433038</v>
      </c>
      <c r="CE9" s="112">
        <f t="shared" ref="CE9:CE25" si="71">IF((BZ$26-CD$26)&gt;0,CD9,BZ$26*CD9/CD$26)</f>
        <v>0</v>
      </c>
      <c r="CF9" s="68" t="s">
        <v>8</v>
      </c>
      <c r="CG9" s="41" t="s">
        <v>8</v>
      </c>
      <c r="CH9" s="45">
        <f t="shared" ref="CH9:CH25" si="72">(((H9+L9+Q9+W9+AC9+AI9+AO9+AU9+BA9+BG9+BM9+BS9+BY9+CE9)/G9)/$J$26)/I9</f>
        <v>0.67012838605592917</v>
      </c>
      <c r="CI9" s="44">
        <f t="shared" ref="CI9:CI25" si="73">CG$26-CH9</f>
        <v>1.8169701400154725E-2</v>
      </c>
      <c r="CJ9" s="46">
        <f t="shared" ref="CJ9:CJ25" si="74">IF(CI9&gt;0,$G9*$I9*(($H$26+$L$26+$Q$26+$W$26+$AC$26+$AI$26+$AO$26+$AU$26+$BA$26+$BG$26+$BM$26+$BS$26+$BY$26+$CE$26)/$G$26)*CI9,0)</f>
        <v>182543.06321433038</v>
      </c>
      <c r="CK9" s="112">
        <f t="shared" ref="CK9:CK25" si="75">IF((CF$26-CJ$26)&gt;0,CJ9,CF$26*CJ9/CJ$26)</f>
        <v>0</v>
      </c>
      <c r="CL9" s="68" t="s">
        <v>8</v>
      </c>
      <c r="CM9" s="41" t="s">
        <v>8</v>
      </c>
      <c r="CN9" s="45">
        <f t="shared" ref="CN9:CN25" si="76">(((H9+L9+Q9+W9+AC9+AI9+AO9+AU9+BA9+BG9+BM9+BS9+BY9+CE9+CK9)/G9)/$J$26)/I9</f>
        <v>0.67012838605592917</v>
      </c>
      <c r="CO9" s="44">
        <f t="shared" ref="CO9:CO25" si="77">CM$26-CN9</f>
        <v>1.8169701400154725E-2</v>
      </c>
      <c r="CP9" s="46">
        <f t="shared" ref="CP9:CP25" si="78">IF(CO9&gt;0,$G9*$I9*(($H$26+$L$26+$Q$26+$W$26+$AC$26+$AI$26+$AO$26+$AU$26+$BA$26+$BG$26+$BM$26+$BS$26+$BY$26+$CE$26+$CK$26)/$G$26)*CO9,0)</f>
        <v>182543.06321433038</v>
      </c>
      <c r="CQ9" s="112">
        <f t="shared" ref="CQ9:CQ25" si="79">IF((CL$26-CP$26)&gt;0,CP9,CL$26*CP9/CP$26)</f>
        <v>0</v>
      </c>
      <c r="CR9" s="68" t="s">
        <v>8</v>
      </c>
      <c r="CS9" s="41" t="s">
        <v>8</v>
      </c>
      <c r="CT9" s="45">
        <f t="shared" ref="CT9:CT25" si="80">(((H9+L9+Q9+W9+AC9+AI9+AO9+AU9+BA9+BG9+BM9+BS9+BY9+CE9+CK9+CQ9)/G9)/$J$26)/I9</f>
        <v>0.67012838605592917</v>
      </c>
      <c r="CU9" s="44">
        <f t="shared" ref="CU9:CU25" si="81">CS$26-CT9</f>
        <v>1.8169701400154725E-2</v>
      </c>
      <c r="CV9" s="46">
        <f t="shared" ref="CV9:CV25" si="82">IF(CU9&gt;0,$G9*$I9*(($H$26+$L$26+$Q$26+$W$26+$AC$26+$AI$26+$AO$26+$AU$26+$BA$26+$BG$26+$BM$26+$BS$26+$BY$26+$CE$26+$CK$26+$CQ$26)/$G$26)*CU9,0)</f>
        <v>182543.06321433038</v>
      </c>
      <c r="CW9" s="112">
        <f t="shared" ref="CW9:CW25" si="83">IF((CR$26-CV$26)&gt;0,CV9,CR$26*CV9/CV$26)</f>
        <v>0</v>
      </c>
      <c r="CX9" s="68" t="s">
        <v>8</v>
      </c>
      <c r="CY9" s="41" t="s">
        <v>8</v>
      </c>
      <c r="CZ9" s="45">
        <f t="shared" ref="CZ9:CZ25" si="84">(((H9+L9+Q9+W9+AC9+AI9+AO9+AU9+BA9+BG9+BM9+BS9+BY9+CE9+CK9+CQ9+CW9)/G9)/$J$26)/I9</f>
        <v>0.67012838605592917</v>
      </c>
      <c r="DA9" s="44">
        <f t="shared" ref="DA9:DA25" si="85">CY$26-CZ9</f>
        <v>1.8169701400154725E-2</v>
      </c>
      <c r="DB9" s="46">
        <f t="shared" ref="DB9:DB25" si="86">IF(DA9&gt;0,$G9*$I9*(($H$26+$L$26+$Q$26+$W$26+$AC$26+$AI$26+$AO$26+$AU$26+$BA$26+$BG$26+$BM$26+$BS$26+$BY$26+$CE$26+$CK$26+$CQ$26+$CW$26)/$G$26)*DA9,0)</f>
        <v>182543.06321433038</v>
      </c>
      <c r="DC9" s="112">
        <f t="shared" ref="DC9:DC25" si="87">IF((CX$26-DB$26)&gt;0,DB9,CX$26*DB9/DB$26)</f>
        <v>0</v>
      </c>
      <c r="DD9" s="68" t="s">
        <v>8</v>
      </c>
      <c r="DE9" s="41" t="s">
        <v>8</v>
      </c>
      <c r="DF9" s="45">
        <f t="shared" ref="DF9:DF25" si="88">(((H9+L9+Q9+W9+AC9+AI9+AO9+AU9+BA9+BG9+BM9+BS9+BY9+CE9+CK9+CQ9+CW9+DC9)/G9)/$J$26)/I9</f>
        <v>0.67012838605592917</v>
      </c>
      <c r="DG9" s="44">
        <f t="shared" ref="DG9:DG25" si="89">DE$26-DF9</f>
        <v>1.8169701400154725E-2</v>
      </c>
      <c r="DH9" s="46">
        <f t="shared" ref="DH9:DH25" si="90">IF(DG9&gt;0,$G9*$I9*(($H$26+$L$26+$Q$26+$W$26+$AC$26+$AI$26+$AO$26+$AU$26+$BA$26+$BG$26+$BM$26+$BS$26+$BY$26+$CE$26+$CK$26+$CQ$26+$CW$26+$DC$26)/$G$26)*DG9,0)</f>
        <v>182543.06321433038</v>
      </c>
      <c r="DI9" s="112">
        <f t="shared" ref="DI9:DI25" si="91">IF((DD$26-DH$26)&gt;0,DH9,DD$26*DH9/DH$26)</f>
        <v>0</v>
      </c>
      <c r="DJ9" s="68" t="s">
        <v>8</v>
      </c>
      <c r="DK9" s="41" t="s">
        <v>8</v>
      </c>
      <c r="DL9" s="45">
        <f t="shared" ref="DL9:DL25" si="92">(((H9+L9+Q9+W9+AC9+AI9+AO9+AU9+BA9+BG9+BM9+BS9+BY9+CE9+CK9+CQ9+CW9+DC9+DI9)/G9)/$J$26)/I9</f>
        <v>0.67012838605592917</v>
      </c>
      <c r="DM9" s="44">
        <f t="shared" ref="DM9:DM25" si="93">DK$26-DL9</f>
        <v>1.8169701400154725E-2</v>
      </c>
      <c r="DN9" s="46">
        <f t="shared" ref="DN9:DN25" si="94">IF(DM9&gt;0,$G9*$I9*(($H$26+$L$26+$Q$26+$W$26+$AC$26+$AI$26+$AO$26+$AU$26+$BA$26+$BG$26+$BM$26+$BS$26+$BY$26+$CE$26+$CK$26+$CQ$26+$CW$26+$DC$26+$DI$26)/$G$26)*DM9,0)</f>
        <v>182543.06321433038</v>
      </c>
      <c r="DO9" s="112">
        <f t="shared" ref="DO9:DO25" si="95">IF((DJ$26-DN$26)&gt;0,DN9,DJ$26*DN9/DN$26)</f>
        <v>0</v>
      </c>
      <c r="DP9" s="68" t="s">
        <v>8</v>
      </c>
      <c r="DQ9" s="41" t="s">
        <v>8</v>
      </c>
      <c r="DR9" s="45">
        <f t="shared" ref="DR9:DR25" si="96">(((H9+L9+Q9+W9+AC9+AI9+AO9+AU9+BA9+BG9+BM9+BS9+BY9+CE9+CK9+CQ9+CW9+DC9+DI9+DO9)/G9)/$J$26)/I9</f>
        <v>0.67012838605592917</v>
      </c>
      <c r="DS9" s="44">
        <f t="shared" ref="DS9:DS25" si="97">DQ$26-DR9</f>
        <v>1.8169701400154725E-2</v>
      </c>
      <c r="DT9" s="46">
        <f t="shared" ref="DT9:DT25" si="98">IF(DS9&gt;0,$G9*$I9*(($H$26+$L$26+$Q$26+$W$26+$AC$26+$AI$26+$AO$26+$AU$26+$BA$26+$BG$26+$BM$26+$BS$26+$BY$26+$CE$26+$CK$26+$CQ$26+$CW$26+$DC$26+$DI$26+$DO$26)/$G$26)*DS9,0)</f>
        <v>182543.06321433038</v>
      </c>
      <c r="DU9" s="112">
        <f t="shared" ref="DU9:DU25" si="99">IF((DP$26-DT$26)&gt;0,DT9,DP$26*DT9/DT$26)</f>
        <v>0</v>
      </c>
      <c r="DV9" s="148" t="s">
        <v>8</v>
      </c>
      <c r="DW9" s="138" t="s">
        <v>8</v>
      </c>
      <c r="DX9" s="152">
        <f t="shared" ref="DX9:DX25" si="100">((($H9+$L9+$Q9+$W9+$AC9+$AI9+$AO9+$AU9+$BA9+$BG9+$BM9+$BS9+$BY9+$CE9+$CK9+$CQ9+$CW9+$DC9+$DI9+$DO9+$DU9)/$G9)/$J$26)/$I9</f>
        <v>0.67012838605592917</v>
      </c>
      <c r="DY9" s="139">
        <f t="shared" ref="DY9:DY25" si="101">DW$26-DX9</f>
        <v>1.8169701400154725E-2</v>
      </c>
      <c r="DZ9" s="29">
        <f t="shared" ref="DZ9:DZ25" si="102">IF(DY9&gt;0,$G9*$I9*(($H$26+$L$26+$Q$26+$W$26+$AC$26+$AI$26+$AO$26+$AU$26+$BA$26+$BG$26+$BM$26+$BS$26+$BY$26+$CE$26+$CK$26+$CQ$26+$CW$26+$DC$26+$DI$26+$DO$26+$DU$26)/$G$26)*DY9,0)</f>
        <v>182543.06321433038</v>
      </c>
      <c r="EA9" s="140">
        <f t="shared" ref="EA9:EA25" si="103">IF((DV$26-DZ$26)&gt;0,DZ9,DV$26*DZ9/DZ$26)</f>
        <v>0</v>
      </c>
      <c r="EB9" s="148" t="s">
        <v>8</v>
      </c>
      <c r="EC9" s="138" t="s">
        <v>8</v>
      </c>
      <c r="ED9" s="152">
        <f t="shared" ref="ED9:ED25" si="104">((($H9+$L9+$Q9+$W9+$AC9+$AI9+$AO9+$AU9+$BA9+$BG9+$BM9+$BS9+$BY9+$CE9+$CK9+$CQ9+$CW9+$DC9+$DI9+$DO9+$DU9+$EA9)/$G9)/$J$26)/$I9</f>
        <v>0.67012838605592917</v>
      </c>
      <c r="EE9" s="139">
        <f t="shared" ref="EE9:EE25" si="105">EC$26-ED9</f>
        <v>1.8169701400154725E-2</v>
      </c>
      <c r="EF9" s="29">
        <f t="shared" ref="EF9:EF25" si="106">IF(EE9&gt;0,$G9*$I9*(($H$26+$L$26+$Q$26+$W$26+$AC$26+$AI$26+$AO$26+$AU$26+$BA$26+$BG$26+$BM$26+$BS$26+$BY$26+$CE$26+$CK$26+$CQ$26+$CW$26+$DC$26+$DI$26+$DO$26+$DU$26+$EA$26)/$G$26)*EE9,0)</f>
        <v>182543.06321433038</v>
      </c>
      <c r="EG9" s="140">
        <f t="shared" ref="EG9:EG25" si="107">IF((EB$26-EF$26)&gt;0,EF9,EB$26*EF9/EF$26)</f>
        <v>0</v>
      </c>
      <c r="EH9" s="148" t="s">
        <v>8</v>
      </c>
      <c r="EI9" s="138" t="s">
        <v>8</v>
      </c>
      <c r="EJ9" s="152">
        <f t="shared" ref="EJ9:EJ25" si="108">((($H9+$L9+$Q9+$W9+$AC9+$AI9+$AO9+$AU9+$BA9+$BG9+$BM9+$BS9+$BY9+$CE9+$CK9+$CQ9+$CW9+$DC9+$DI9+$DO9+$DU9+$EA9+$EG9)/$G9)/$J$26)/$I9</f>
        <v>0.67012838605592917</v>
      </c>
      <c r="EK9" s="139">
        <f t="shared" ref="EK9:EK25" si="109">EI$26-EJ9</f>
        <v>1.8169701400154725E-2</v>
      </c>
      <c r="EL9" s="29">
        <f t="shared" ref="EL9:EL25" si="110">IF(EK9&gt;0,$G9*$I9*(($H$26+$L$26+$Q$26+$W$26+$AC$26+$AI$26+$AO$26+$AU$26+$BA$26+$BG$26+$BM$26+$BS$26+$BY$26+$CE$26+$CK$26+$CQ$26+$CW$26+$DC$26+$DI$26+$DO$26+$DU$26+$EA$26+$EG$26)/$G$26)*EK9,0)</f>
        <v>182543.06321433038</v>
      </c>
      <c r="EM9" s="140">
        <f t="shared" ref="EM9:EM25" si="111">IF((EH$26-EL$26)&gt;0,EL9,EH$26*EL9/EL$26)</f>
        <v>0</v>
      </c>
      <c r="EN9" s="68" t="s">
        <v>8</v>
      </c>
      <c r="EO9" s="41" t="s">
        <v>8</v>
      </c>
      <c r="EP9" s="153">
        <f t="shared" ref="EP9:EP25" si="112">((($H9+$L9+$Q9+$W9+$AC9+$AI9+$AO9+$AU9+$BA9+$BG9+$BM9+$BS9+$BY9+$CE9+$CK9+$CQ9+$CW9+$DC9+$DI9+$DO9+$DU9+$EA9+$EG9+$EM9)/$G9)/$J$26)/$I9</f>
        <v>0.67012838605592917</v>
      </c>
      <c r="EQ9" s="44">
        <f t="shared" ref="EQ9:EQ25" si="113">EO$26-EP9</f>
        <v>1.8169701400154725E-2</v>
      </c>
      <c r="ER9" s="46">
        <f t="shared" ref="ER9:ER25" si="114">IF(EQ9&gt;0,$G9*$I9*(($H$26+$L$26+$Q$26+$W$26+$AC$26+$AI$26+$AO$26+$AU$26+$BA$26+$BG$26+$BM$26+$BS$26+$BY$26+$CE$26+$CK$26+$CQ$26+$CW$26+$DC$26+$DI$26+$DO$26+$DU$26+$EA$26+$EG$26+$EM$26)/$G$26)*EQ9,0)</f>
        <v>182543.06321433038</v>
      </c>
      <c r="ES9" s="72">
        <f t="shared" ref="ES9:ES25" si="115">IF((EN$26-ER$26)&gt;0,ER9,EN$26*ER9/ER$26)</f>
        <v>0</v>
      </c>
      <c r="ET9" s="148" t="s">
        <v>8</v>
      </c>
      <c r="EU9" s="138" t="s">
        <v>8</v>
      </c>
      <c r="EV9" s="152">
        <f t="shared" ref="EV9:EV25" si="116">((($H9+$L9+$Q9+$W9+$AC9+$AI9+$AO9+$AU9+$BA9+$BG9+$BM9+$BS9+$BY9+$CE9+$CK9+$CQ9+$CW9+$DC9+$DI9+$DO9+$DU9+$EA9+$EG9+$EM9+$ES9)/$G9)/$J$26)/$I9</f>
        <v>0.67012838605592917</v>
      </c>
      <c r="EW9" s="139">
        <f t="shared" ref="EW9:EW25" si="117">EU$26-EV9</f>
        <v>1.8169701400154725E-2</v>
      </c>
      <c r="EX9" s="29">
        <f t="shared" ref="EX9:EX25" si="118">IF(EW9&gt;0,$G9*$I9*(($H$26+$L$26+$Q$26+$W$26+$AC$26+$AI$26+$AO$26+$AU$26+$BA$26+$BG$26+$BM$26+$BS$26+$BY$26+$CE$26+$CK$26+$CQ$26+$CW$26+$DC$26+$DI$26+$DO$26+$DU$26+$EA$26+$EG$26+$EM$26+$ES$26)/$G$26)*EW9,0)</f>
        <v>182543.06321433038</v>
      </c>
      <c r="EY9" s="140">
        <f t="shared" ref="EY9:EY25" si="119">IF((ET$26-EX$26)&gt;0,EX9,ET$26*EX9/EX$26)</f>
        <v>0</v>
      </c>
      <c r="EZ9" s="148" t="s">
        <v>8</v>
      </c>
      <c r="FA9" s="138" t="s">
        <v>8</v>
      </c>
      <c r="FB9" s="152">
        <f t="shared" ref="FB9:FB25" si="120">((($H9+$L9+$Q9+$W9+$AC9+$AI9+$AO9+$AU9+$BA9+$BG9+$BM9+$BS9+$BY9+$CE9+$CK9+$CQ9+$CW9+$DC9+$DI9+$DO9+$DU9+$EA9+$EG9+$EM9+$ES9+$EY9)/$G9)/$J$26)/$I9</f>
        <v>0.67012838605592917</v>
      </c>
      <c r="FC9" s="139">
        <f t="shared" ref="FC9:FC25" si="121">FA$26-FB9</f>
        <v>1.8169701400154725E-2</v>
      </c>
      <c r="FD9" s="29">
        <f t="shared" ref="FD9:FD25" si="122">IF(FC9&gt;0,$G9*$I9*(($H$26+$L$26+$Q$26+$W$26+$AC$26+$AI$26+$AO$26+$AU$26+$BA$26+$BG$26+$BM$26+$BS$26+$BY$26+$CE$26+$CK$26+$CQ$26+$CW$26+$DC$26+$DI$26+$DO$26+$DU$26+$EA$26+$EG$26+$EM$26+$ES$26+$EY$26)/$G$26)*FC9,0)</f>
        <v>182543.06321433038</v>
      </c>
      <c r="FE9" s="140">
        <f t="shared" ref="FE9:FE25" si="123">IF((EZ$26-FD$26)&gt;0,FD9,EZ$26*FD9/FD$26)</f>
        <v>0</v>
      </c>
      <c r="FF9" s="148" t="s">
        <v>8</v>
      </c>
      <c r="FG9" s="138" t="s">
        <v>8</v>
      </c>
      <c r="FH9" s="152">
        <f t="shared" ref="FH9:FH25" si="124">((($H9+$L9+$Q9+$W9+$AC9+$AI9+$AO9+$AU9+$BA9+$BG9+$BM9+$BS9+$BY9+$CE9+$CK9+$CQ9+$CW9+$DC9+$DI9+$DO9+$DU9+$EA9+$EG9+$EM9+$ES9+$EY9+$FE9)/$G9)/$J$26)/$I9</f>
        <v>0.67012838605592917</v>
      </c>
      <c r="FI9" s="139">
        <f t="shared" ref="FI9:FI25" si="125">FG$26-FH9</f>
        <v>1.8169701400154725E-2</v>
      </c>
      <c r="FJ9" s="29">
        <f t="shared" ref="FJ9:FJ25" si="126">IF(FI9&gt;0,$G9*$I9*(($H$26+$L$26+$Q$26+$W$26+$AC$26+$AI$26+$AO$26+$AU$26+$BA$26+$BG$26+$BM$26+$BS$26+$BY$26+$CE$26+$CK$26+$CQ$26+$CW$26+$DC$26+$DI$26+$DO$26+$DU$26+$EA$26+$EG$26+$EM$26+$ES$26+$EY$26+$FE$26)/$G$26)*FI9,0)</f>
        <v>182543.06321433038</v>
      </c>
      <c r="FK9" s="140">
        <f t="shared" ref="FK9:FK25" si="127">IF((FF$26-FJ$26)&gt;0,FJ9,FF$26*FJ9/FJ$26)</f>
        <v>0</v>
      </c>
      <c r="FL9" s="148" t="s">
        <v>8</v>
      </c>
      <c r="FM9" s="138" t="s">
        <v>8</v>
      </c>
      <c r="FN9" s="152">
        <f t="shared" ref="FN9:FN25" si="128">((($H9+$L9+$Q9+$W9+$AC9+$AI9+$AO9+$AU9+$BA9+$BG9+$BM9+$BS9+$BY9+$CE9+$CK9+$CQ9+$CW9+$DC9+$DI9+$DO9+$DU9+$EA9+$EG9+$EM9+$ES9+$EY9+$FE9+$FK9)/$G9)/$J$26)/$I9</f>
        <v>0.67012838605592917</v>
      </c>
      <c r="FO9" s="139">
        <f t="shared" ref="FO9:FO25" si="129">FM$26-FN9</f>
        <v>1.8169701400154725E-2</v>
      </c>
      <c r="FP9" s="29">
        <f t="shared" ref="FP9:FP25" si="130">IF(FO9&gt;0,$G9*$I9*(($H$26+$L$26+$Q$26+$W$26+$AC$26+$AI$26+$AO$26+$AU$26+$BA$26+$BG$26+$BM$26+$BS$26+$BY$26+$CE$26+$CK$26+$CQ$26+$CW$26+$DC$26+$DI$26+$DO$26+$DU$26+$EA$26+$EG$26+$EM$26+$ES$26+$EY$26+$FE$26+$FK$26)/$G$26)*FO9,0)</f>
        <v>182543.06321433038</v>
      </c>
      <c r="FQ9" s="140">
        <f t="shared" ref="FQ9:FQ25" si="131">IF((FL$26-FP$26)&gt;0,FP9,FL$26*FP9/FP$26)</f>
        <v>0</v>
      </c>
      <c r="FR9" s="148" t="s">
        <v>8</v>
      </c>
      <c r="FS9" s="138" t="s">
        <v>8</v>
      </c>
      <c r="FT9" s="152">
        <f t="shared" ref="FT9:FT25" si="132">((($H9+$L9+$Q9+$W9+$AC9+$AI9+$AO9+$AU9+$BA9+$BG9+$BM9+$BS9+$BY9+$CE9+$CK9+$CQ9+$CW9+$DC9+$DI9+$DO9+$DU9+$EA9+$EG9+$EM9+$ES9+$EY9+$FE9+$FK9+$FQ9)/$G9)/$J$26)/$I9</f>
        <v>0.67012838605592917</v>
      </c>
      <c r="FU9" s="139">
        <f t="shared" ref="FU9:FU25" si="133">FS$26-FT9</f>
        <v>1.8169701400154725E-2</v>
      </c>
      <c r="FV9" s="29">
        <f t="shared" ref="FV9:FV25" si="134">IF(FU9&gt;0,$G9*$I9*(($H$26+$L$26+$Q$26+$W$26+$AC$26+$AI$26+$AO$26+$AU$26+$BA$26+$BG$26+$BM$26+$BS$26+$BY$26+$CE$26+$CK$26+$CQ$26+$CW$26+$DC$26+$DI$26+$DO$26+$DU$26+$EA$26+$EG$26+$EM$26+$ES$26+$EY$26+$FE$26+$FK$26+$FQ$26)/$G$26)*FU9,0)</f>
        <v>182543.06321433038</v>
      </c>
      <c r="FW9" s="140">
        <f t="shared" ref="FW9:FW25" si="135">IF((FR$26-FV$26)&gt;0,FV9,FR$26*FV9/FV$26)</f>
        <v>0</v>
      </c>
      <c r="FX9" s="148" t="s">
        <v>8</v>
      </c>
      <c r="FY9" s="138" t="s">
        <v>8</v>
      </c>
      <c r="FZ9" s="152">
        <f t="shared" ref="FZ9:FZ25" si="136">((($H9+$L9+$Q9+$W9+$AC9+$AI9+$AO9+$AU9+$BA9+$BG9+$BM9+$BS9+$BY9+$CE9+$CK9+$CQ9+$CW9+$DC9+$DI9+$DO9+$DU9+$EA9+$EG9+$EM9+$ES9+$EY9+$FE9+$FK9+$FQ9+$FW9)/$G9)/$J$26)/$I9</f>
        <v>0.67012838605592917</v>
      </c>
      <c r="GA9" s="139">
        <f t="shared" ref="GA9:GA25" si="137">FY$26-FZ9</f>
        <v>1.8169701400154725E-2</v>
      </c>
      <c r="GB9" s="29">
        <f t="shared" ref="GB9:GB25" si="138">IF(GA9&gt;0,$G9*$I9*(($H$26+$L$26+$Q$26+$W$26+$AC$26+$AI$26+$AO$26+$AU$26+$BA$26+$BG$26+$BM$26+$BS$26+$BY$26+$CE$26+$CK$26+$CQ$26+$CW$26+$DC$26+$DI$26+$DO$26+$DU$26+$EA$26+$EG$26+$EM$26+$ES$26+$EY$26+$FE$26+$FK$26+$FQ$26+$FW$26)/$G$26)*GA9,0)</f>
        <v>182543.06321433038</v>
      </c>
      <c r="GC9" s="140">
        <f t="shared" ref="GC9:GC25" si="139">IF((FX$26-GB$26)&gt;0,GB9,FX$26*GB9/GB$26)</f>
        <v>0</v>
      </c>
      <c r="GD9" s="148" t="s">
        <v>8</v>
      </c>
      <c r="GE9" s="138" t="s">
        <v>8</v>
      </c>
      <c r="GF9" s="152">
        <f t="shared" ref="GF9:GF25" si="140">((($H9+$L9+$Q9+$W9+$AC9+$AI9+$AO9+$AU9+$BA9+$BG9+$BM9+$BS9+$BY9+$CE9+$CK9+$CQ9+$CW9+$DC9+$DI9+$DO9+$DU9+$EA9+$EG9+$EM9+$ES9+$EY9+$FE9+$FK9+$FQ9+$FW9+$GC9)/$G9)/$J$26)/$I9</f>
        <v>0.67012838605592917</v>
      </c>
      <c r="GG9" s="139">
        <f t="shared" ref="GG9:GG25" si="141">GE$26-GF9</f>
        <v>1.8169701400154725E-2</v>
      </c>
      <c r="GH9" s="29">
        <f t="shared" ref="GH9:GH25" si="142">IF(GG9&gt;0,$G9*$I9*(($H$26+$L$26+$Q$26+$W$26+$AC$26+$AI$26+$AO$26+$AU$26+$BA$26+$BG$26+$BM$26+$BS$26+$BY$26+$CE$26+$CK$26+$CQ$26+$CW$26+$DC$26+$DI$26+$DO$26+$DU$26+$EA$26+$EG$26+$EM$26+$ES$26+$EY$26+$FE$26+$FK$26+$FQ$26+$FW$26+$GC$26)/$G$26)*GG9,0)</f>
        <v>182543.06321433038</v>
      </c>
      <c r="GI9" s="156">
        <f t="shared" ref="GI9:GI25" si="143">IF((GD$26-GH$26)&gt;0,GH9,GD$26*GH9/GH$26)</f>
        <v>0</v>
      </c>
      <c r="GJ9" s="154">
        <f>Q9+W9+AC9+AI9+AO9+AU9+BA9+BG9+BM9+BS9+BY9+CE9+CK9+CQ9+CW9+DC9+DI9+DO9+DU9+EA9+EG9+EM9+ES9+EY9+FE9+FK9+FQ9+FW9+GC9+GI9</f>
        <v>2281115.2280411003</v>
      </c>
      <c r="GK9" s="237">
        <f t="shared" ref="GK9:GK26" si="144">L9+GJ9</f>
        <v>2359817.145881427</v>
      </c>
      <c r="GL9" s="195">
        <f t="shared" ref="GL9:GL25" si="145">K9+GK9/($H$26/$G$26)/G9/I9</f>
        <v>0.67012838605592917</v>
      </c>
      <c r="GM9" s="141">
        <v>2359817.15</v>
      </c>
    </row>
    <row r="10" spans="1:195" s="20" customFormat="1" x14ac:dyDescent="0.25">
      <c r="A10" s="159" t="s">
        <v>173</v>
      </c>
      <c r="B10" s="130" t="s">
        <v>8</v>
      </c>
      <c r="C10" s="130" t="s">
        <v>8</v>
      </c>
      <c r="D10" s="130" t="s">
        <v>8</v>
      </c>
      <c r="E10" s="130" t="s">
        <v>8</v>
      </c>
      <c r="F10" s="130" t="s">
        <v>8</v>
      </c>
      <c r="G10" s="95">
        <f>'Исходные данные'!C12</f>
        <v>690</v>
      </c>
      <c r="H10" s="42">
        <f>'Исходные данные'!E12</f>
        <v>963802</v>
      </c>
      <c r="I10" s="27">
        <f>'Расчет КРП'!G8</f>
        <v>3.3834257287327114</v>
      </c>
      <c r="J10" s="102" t="s">
        <v>8</v>
      </c>
      <c r="K10" s="106">
        <f t="shared" si="22"/>
        <v>0.23162817630430821</v>
      </c>
      <c r="L10" s="70">
        <f t="shared" si="23"/>
        <v>61430.229988490115</v>
      </c>
      <c r="M10" s="66">
        <f t="shared" si="24"/>
        <v>0.2463915531619908</v>
      </c>
      <c r="N10" s="25" t="s">
        <v>8</v>
      </c>
      <c r="O10" s="28">
        <f t="shared" si="25"/>
        <v>2.4565560855393076E-2</v>
      </c>
      <c r="P10" s="29">
        <f t="shared" si="26"/>
        <v>107322.81702770093</v>
      </c>
      <c r="Q10" s="73">
        <f t="shared" si="27"/>
        <v>107322.81702770093</v>
      </c>
      <c r="R10" s="135" t="s">
        <v>8</v>
      </c>
      <c r="S10" s="25" t="s">
        <v>8</v>
      </c>
      <c r="T10" s="30">
        <f t="shared" si="28"/>
        <v>0.27218418316687493</v>
      </c>
      <c r="U10" s="28">
        <f t="shared" si="29"/>
        <v>7.3437157863161406E-2</v>
      </c>
      <c r="V10" s="46">
        <f t="shared" si="30"/>
        <v>367227.56114462164</v>
      </c>
      <c r="W10" s="73">
        <f t="shared" si="31"/>
        <v>367227.56114462164</v>
      </c>
      <c r="X10" s="69" t="s">
        <v>8</v>
      </c>
      <c r="Y10" s="25" t="s">
        <v>8</v>
      </c>
      <c r="Z10" s="30">
        <f t="shared" si="32"/>
        <v>0.36043908435675376</v>
      </c>
      <c r="AA10" s="28">
        <f t="shared" si="33"/>
        <v>4.9228248195618829E-2</v>
      </c>
      <c r="AB10" s="46">
        <f t="shared" si="34"/>
        <v>272697.59190640447</v>
      </c>
      <c r="AC10" s="73">
        <f t="shared" si="35"/>
        <v>272697.59190640447</v>
      </c>
      <c r="AD10" s="69" t="s">
        <v>8</v>
      </c>
      <c r="AE10" s="25" t="s">
        <v>8</v>
      </c>
      <c r="AF10" s="30">
        <f t="shared" si="36"/>
        <v>0.42597582934779638</v>
      </c>
      <c r="AG10" s="28">
        <f t="shared" si="37"/>
        <v>4.042883055489227E-2</v>
      </c>
      <c r="AH10" s="46">
        <f t="shared" si="38"/>
        <v>243450.70202076028</v>
      </c>
      <c r="AI10" s="73">
        <f t="shared" si="39"/>
        <v>243450.70202076028</v>
      </c>
      <c r="AJ10" s="69" t="s">
        <v>8</v>
      </c>
      <c r="AK10" s="25" t="s">
        <v>8</v>
      </c>
      <c r="AL10" s="30">
        <f t="shared" si="40"/>
        <v>0.48448374085770424</v>
      </c>
      <c r="AM10" s="28">
        <f t="shared" si="41"/>
        <v>3.3552788677462975E-2</v>
      </c>
      <c r="AN10" s="46">
        <f t="shared" si="42"/>
        <v>216804.44692196921</v>
      </c>
      <c r="AO10" s="73">
        <f t="shared" si="43"/>
        <v>216804.44692196921</v>
      </c>
      <c r="AP10" s="69" t="s">
        <v>8</v>
      </c>
      <c r="AQ10" s="25" t="s">
        <v>8</v>
      </c>
      <c r="AR10" s="30">
        <f t="shared" si="44"/>
        <v>0.53658782308123143</v>
      </c>
      <c r="AS10" s="28">
        <f t="shared" si="45"/>
        <v>2.7943467832131197E-2</v>
      </c>
      <c r="AT10" s="46">
        <f t="shared" si="46"/>
        <v>191631.86550814009</v>
      </c>
      <c r="AU10" s="73">
        <f t="shared" si="47"/>
        <v>191631.86550814009</v>
      </c>
      <c r="AV10" s="69" t="s">
        <v>8</v>
      </c>
      <c r="AW10" s="25" t="s">
        <v>8</v>
      </c>
      <c r="AX10" s="30">
        <f t="shared" si="48"/>
        <v>0.58264224040910895</v>
      </c>
      <c r="AY10" s="28">
        <f t="shared" si="49"/>
        <v>2.2720672851829216E-2</v>
      </c>
      <c r="AZ10" s="46">
        <f t="shared" si="50"/>
        <v>163719.68639426146</v>
      </c>
      <c r="BA10" s="73">
        <f t="shared" si="51"/>
        <v>163719.68639426146</v>
      </c>
      <c r="BB10" s="69" t="s">
        <v>8</v>
      </c>
      <c r="BC10" s="25" t="s">
        <v>8</v>
      </c>
      <c r="BD10" s="30">
        <f t="shared" si="52"/>
        <v>0.62198859202968659</v>
      </c>
      <c r="BE10" s="28">
        <f t="shared" si="53"/>
        <v>2.1341530111945395E-2</v>
      </c>
      <c r="BF10" s="46">
        <f t="shared" si="54"/>
        <v>165605.47148307328</v>
      </c>
      <c r="BG10" s="73">
        <f t="shared" si="55"/>
        <v>165605.47148307328</v>
      </c>
      <c r="BH10" s="69" t="s">
        <v>8</v>
      </c>
      <c r="BI10" s="25" t="s">
        <v>8</v>
      </c>
      <c r="BJ10" s="30">
        <f t="shared" si="56"/>
        <v>0.66178814976627509</v>
      </c>
      <c r="BK10" s="28">
        <f t="shared" si="57"/>
        <v>1.8494710175697149E-2</v>
      </c>
      <c r="BL10" s="46">
        <f t="shared" si="58"/>
        <v>151720.03381340031</v>
      </c>
      <c r="BM10" s="73">
        <f t="shared" si="59"/>
        <v>34726.931104334559</v>
      </c>
      <c r="BN10" s="69" t="s">
        <v>8</v>
      </c>
      <c r="BO10" s="25" t="s">
        <v>8</v>
      </c>
      <c r="BP10" s="30">
        <f t="shared" si="60"/>
        <v>0.67013398814422231</v>
      </c>
      <c r="BQ10" s="28">
        <f t="shared" si="61"/>
        <v>1.8164099311861581E-2</v>
      </c>
      <c r="BR10" s="46">
        <f t="shared" si="62"/>
        <v>151086.80102435988</v>
      </c>
      <c r="BS10" s="113">
        <f t="shared" si="63"/>
        <v>0</v>
      </c>
      <c r="BT10" s="69" t="s">
        <v>8</v>
      </c>
      <c r="BU10" s="25" t="s">
        <v>8</v>
      </c>
      <c r="BV10" s="30">
        <f t="shared" si="64"/>
        <v>0.67013398814422231</v>
      </c>
      <c r="BW10" s="28">
        <f t="shared" si="65"/>
        <v>1.8164099311861581E-2</v>
      </c>
      <c r="BX10" s="46">
        <f t="shared" si="66"/>
        <v>151086.80102435988</v>
      </c>
      <c r="BY10" s="113">
        <f t="shared" si="67"/>
        <v>0</v>
      </c>
      <c r="BZ10" s="69" t="s">
        <v>8</v>
      </c>
      <c r="CA10" s="25" t="s">
        <v>8</v>
      </c>
      <c r="CB10" s="30">
        <f t="shared" si="68"/>
        <v>0.67013398814422231</v>
      </c>
      <c r="CC10" s="28">
        <f t="shared" si="69"/>
        <v>1.8164099311861581E-2</v>
      </c>
      <c r="CD10" s="46">
        <f t="shared" si="70"/>
        <v>151086.80102435988</v>
      </c>
      <c r="CE10" s="113">
        <f t="shared" si="71"/>
        <v>0</v>
      </c>
      <c r="CF10" s="69" t="s">
        <v>8</v>
      </c>
      <c r="CG10" s="25" t="s">
        <v>8</v>
      </c>
      <c r="CH10" s="30">
        <f t="shared" si="72"/>
        <v>0.67013398814422231</v>
      </c>
      <c r="CI10" s="28">
        <f t="shared" si="73"/>
        <v>1.8164099311861581E-2</v>
      </c>
      <c r="CJ10" s="46">
        <f t="shared" si="74"/>
        <v>151086.80102435988</v>
      </c>
      <c r="CK10" s="113">
        <f t="shared" si="75"/>
        <v>0</v>
      </c>
      <c r="CL10" s="69" t="s">
        <v>8</v>
      </c>
      <c r="CM10" s="25" t="s">
        <v>8</v>
      </c>
      <c r="CN10" s="30">
        <f t="shared" si="76"/>
        <v>0.67013398814422231</v>
      </c>
      <c r="CO10" s="28">
        <f t="shared" si="77"/>
        <v>1.8164099311861581E-2</v>
      </c>
      <c r="CP10" s="46">
        <f t="shared" si="78"/>
        <v>151086.80102435988</v>
      </c>
      <c r="CQ10" s="113">
        <f t="shared" si="79"/>
        <v>0</v>
      </c>
      <c r="CR10" s="69" t="s">
        <v>8</v>
      </c>
      <c r="CS10" s="25" t="s">
        <v>8</v>
      </c>
      <c r="CT10" s="30">
        <f t="shared" si="80"/>
        <v>0.67013398814422231</v>
      </c>
      <c r="CU10" s="28">
        <f t="shared" si="81"/>
        <v>1.8164099311861581E-2</v>
      </c>
      <c r="CV10" s="46">
        <f t="shared" si="82"/>
        <v>151086.80102435988</v>
      </c>
      <c r="CW10" s="113">
        <f t="shared" si="83"/>
        <v>0</v>
      </c>
      <c r="CX10" s="69" t="s">
        <v>8</v>
      </c>
      <c r="CY10" s="25" t="s">
        <v>8</v>
      </c>
      <c r="CZ10" s="30">
        <f t="shared" si="84"/>
        <v>0.67013398814422231</v>
      </c>
      <c r="DA10" s="28">
        <f t="shared" si="85"/>
        <v>1.8164099311861581E-2</v>
      </c>
      <c r="DB10" s="46">
        <f t="shared" si="86"/>
        <v>151086.80102435988</v>
      </c>
      <c r="DC10" s="113">
        <f t="shared" si="87"/>
        <v>0</v>
      </c>
      <c r="DD10" s="69" t="s">
        <v>8</v>
      </c>
      <c r="DE10" s="25" t="s">
        <v>8</v>
      </c>
      <c r="DF10" s="30">
        <f t="shared" si="88"/>
        <v>0.67013398814422231</v>
      </c>
      <c r="DG10" s="28">
        <f t="shared" si="89"/>
        <v>1.8164099311861581E-2</v>
      </c>
      <c r="DH10" s="46">
        <f t="shared" si="90"/>
        <v>151086.80102435988</v>
      </c>
      <c r="DI10" s="113">
        <f t="shared" si="91"/>
        <v>0</v>
      </c>
      <c r="DJ10" s="69" t="s">
        <v>8</v>
      </c>
      <c r="DK10" s="25" t="s">
        <v>8</v>
      </c>
      <c r="DL10" s="30">
        <f t="shared" si="92"/>
        <v>0.67013398814422231</v>
      </c>
      <c r="DM10" s="28">
        <f t="shared" si="93"/>
        <v>1.8164099311861581E-2</v>
      </c>
      <c r="DN10" s="46">
        <f t="shared" si="94"/>
        <v>151086.80102435988</v>
      </c>
      <c r="DO10" s="113">
        <f t="shared" si="95"/>
        <v>0</v>
      </c>
      <c r="DP10" s="69" t="s">
        <v>8</v>
      </c>
      <c r="DQ10" s="25" t="s">
        <v>8</v>
      </c>
      <c r="DR10" s="30">
        <f t="shared" si="96"/>
        <v>0.67013398814422231</v>
      </c>
      <c r="DS10" s="28">
        <f t="shared" si="97"/>
        <v>1.8164099311861581E-2</v>
      </c>
      <c r="DT10" s="46">
        <f t="shared" si="98"/>
        <v>151086.80102435988</v>
      </c>
      <c r="DU10" s="113">
        <f t="shared" si="99"/>
        <v>0</v>
      </c>
      <c r="DV10" s="69" t="s">
        <v>8</v>
      </c>
      <c r="DW10" s="25" t="s">
        <v>8</v>
      </c>
      <c r="DX10" s="30">
        <f t="shared" si="100"/>
        <v>0.67013398814422231</v>
      </c>
      <c r="DY10" s="28">
        <f t="shared" si="101"/>
        <v>1.8164099311861581E-2</v>
      </c>
      <c r="DZ10" s="29">
        <f t="shared" si="102"/>
        <v>151086.80102435988</v>
      </c>
      <c r="EA10" s="73">
        <f t="shared" si="103"/>
        <v>0</v>
      </c>
      <c r="EB10" s="69" t="s">
        <v>8</v>
      </c>
      <c r="EC10" s="25" t="s">
        <v>8</v>
      </c>
      <c r="ED10" s="30">
        <f t="shared" si="104"/>
        <v>0.67013398814422231</v>
      </c>
      <c r="EE10" s="28">
        <f t="shared" si="105"/>
        <v>1.8164099311861581E-2</v>
      </c>
      <c r="EF10" s="29">
        <f t="shared" si="106"/>
        <v>151086.80102435988</v>
      </c>
      <c r="EG10" s="73">
        <f t="shared" si="107"/>
        <v>0</v>
      </c>
      <c r="EH10" s="69" t="s">
        <v>8</v>
      </c>
      <c r="EI10" s="25" t="s">
        <v>8</v>
      </c>
      <c r="EJ10" s="30">
        <f t="shared" si="108"/>
        <v>0.67013398814422231</v>
      </c>
      <c r="EK10" s="28">
        <f t="shared" si="109"/>
        <v>1.8164099311861581E-2</v>
      </c>
      <c r="EL10" s="29">
        <f t="shared" si="110"/>
        <v>151086.80102435988</v>
      </c>
      <c r="EM10" s="73">
        <f t="shared" si="111"/>
        <v>0</v>
      </c>
      <c r="EN10" s="69" t="s">
        <v>8</v>
      </c>
      <c r="EO10" s="25" t="s">
        <v>8</v>
      </c>
      <c r="EP10" s="30">
        <f t="shared" si="112"/>
        <v>0.67013398814422231</v>
      </c>
      <c r="EQ10" s="28">
        <f t="shared" si="113"/>
        <v>1.8164099311861581E-2</v>
      </c>
      <c r="ER10" s="29">
        <f t="shared" si="114"/>
        <v>151086.80102435988</v>
      </c>
      <c r="ES10" s="73">
        <f t="shared" si="115"/>
        <v>0</v>
      </c>
      <c r="ET10" s="69" t="s">
        <v>8</v>
      </c>
      <c r="EU10" s="25" t="s">
        <v>8</v>
      </c>
      <c r="EV10" s="30">
        <f t="shared" si="116"/>
        <v>0.67013398814422231</v>
      </c>
      <c r="EW10" s="28">
        <f t="shared" si="117"/>
        <v>1.8164099311861581E-2</v>
      </c>
      <c r="EX10" s="29">
        <f t="shared" si="118"/>
        <v>151086.80102435988</v>
      </c>
      <c r="EY10" s="73">
        <f t="shared" si="119"/>
        <v>0</v>
      </c>
      <c r="EZ10" s="69" t="s">
        <v>8</v>
      </c>
      <c r="FA10" s="25" t="s">
        <v>8</v>
      </c>
      <c r="FB10" s="30">
        <f t="shared" si="120"/>
        <v>0.67013398814422231</v>
      </c>
      <c r="FC10" s="28">
        <f t="shared" si="121"/>
        <v>1.8164099311861581E-2</v>
      </c>
      <c r="FD10" s="29">
        <f t="shared" si="122"/>
        <v>151086.80102435988</v>
      </c>
      <c r="FE10" s="73">
        <f t="shared" si="123"/>
        <v>0</v>
      </c>
      <c r="FF10" s="69" t="s">
        <v>8</v>
      </c>
      <c r="FG10" s="25" t="s">
        <v>8</v>
      </c>
      <c r="FH10" s="30">
        <f t="shared" si="124"/>
        <v>0.67013398814422231</v>
      </c>
      <c r="FI10" s="28">
        <f t="shared" si="125"/>
        <v>1.8164099311861581E-2</v>
      </c>
      <c r="FJ10" s="29">
        <f t="shared" si="126"/>
        <v>151086.80102435988</v>
      </c>
      <c r="FK10" s="73">
        <f t="shared" si="127"/>
        <v>0</v>
      </c>
      <c r="FL10" s="69" t="s">
        <v>8</v>
      </c>
      <c r="FM10" s="25" t="s">
        <v>8</v>
      </c>
      <c r="FN10" s="30">
        <f t="shared" si="128"/>
        <v>0.67013398814422231</v>
      </c>
      <c r="FO10" s="28">
        <f t="shared" si="129"/>
        <v>1.8164099311861581E-2</v>
      </c>
      <c r="FP10" s="29">
        <f t="shared" si="130"/>
        <v>151086.80102435988</v>
      </c>
      <c r="FQ10" s="73">
        <f t="shared" si="131"/>
        <v>0</v>
      </c>
      <c r="FR10" s="69" t="s">
        <v>8</v>
      </c>
      <c r="FS10" s="25" t="s">
        <v>8</v>
      </c>
      <c r="FT10" s="30">
        <f t="shared" si="132"/>
        <v>0.67013398814422231</v>
      </c>
      <c r="FU10" s="28">
        <f t="shared" si="133"/>
        <v>1.8164099311861581E-2</v>
      </c>
      <c r="FV10" s="29">
        <f t="shared" si="134"/>
        <v>151086.80102435988</v>
      </c>
      <c r="FW10" s="73">
        <f t="shared" si="135"/>
        <v>0</v>
      </c>
      <c r="FX10" s="69" t="s">
        <v>8</v>
      </c>
      <c r="FY10" s="25" t="s">
        <v>8</v>
      </c>
      <c r="FZ10" s="30">
        <f t="shared" si="136"/>
        <v>0.67013398814422231</v>
      </c>
      <c r="GA10" s="28">
        <f t="shared" si="137"/>
        <v>1.8164099311861581E-2</v>
      </c>
      <c r="GB10" s="29">
        <f t="shared" si="138"/>
        <v>151086.80102435988</v>
      </c>
      <c r="GC10" s="73">
        <f t="shared" si="139"/>
        <v>0</v>
      </c>
      <c r="GD10" s="69" t="s">
        <v>8</v>
      </c>
      <c r="GE10" s="25" t="s">
        <v>8</v>
      </c>
      <c r="GF10" s="30">
        <f t="shared" si="140"/>
        <v>0.67013398814422231</v>
      </c>
      <c r="GG10" s="28">
        <f t="shared" si="141"/>
        <v>1.8164099311861581E-2</v>
      </c>
      <c r="GH10" s="29">
        <f t="shared" si="142"/>
        <v>151086.80102435988</v>
      </c>
      <c r="GI10" s="113">
        <f t="shared" si="143"/>
        <v>0</v>
      </c>
      <c r="GJ10" s="142">
        <f t="shared" ref="GJ10:GJ25" si="146">Q10+W10+AC10+AI10+AO10+AU10+BA10+BG10+BM10+BS10+BY10+CE10+CK10+CQ10+CW10+DC10+DI10+DO10+DU10+EA10+EG10+EM10+ES10+EY10+FE10+FK10+FQ10+FW10+GC10+GI10</f>
        <v>1763187.0735112657</v>
      </c>
      <c r="GK10" s="238">
        <f t="shared" si="144"/>
        <v>1824617.3034997559</v>
      </c>
      <c r="GL10" s="196">
        <f t="shared" si="145"/>
        <v>0.67013398814422231</v>
      </c>
      <c r="GM10" s="86">
        <v>1824617.3</v>
      </c>
    </row>
    <row r="11" spans="1:195" s="20" customFormat="1" ht="31.5" x14ac:dyDescent="0.25">
      <c r="A11" s="159" t="s">
        <v>174</v>
      </c>
      <c r="B11" s="130" t="s">
        <v>8</v>
      </c>
      <c r="C11" s="130" t="s">
        <v>8</v>
      </c>
      <c r="D11" s="130" t="s">
        <v>8</v>
      </c>
      <c r="E11" s="130" t="s">
        <v>8</v>
      </c>
      <c r="F11" s="130" t="s">
        <v>8</v>
      </c>
      <c r="G11" s="95">
        <f>'Исходные данные'!C13</f>
        <v>392</v>
      </c>
      <c r="H11" s="42">
        <f>'Исходные данные'!E13</f>
        <v>559974</v>
      </c>
      <c r="I11" s="27">
        <f>'Расчет КРП'!G9</f>
        <v>4.3953971848734499</v>
      </c>
      <c r="J11" s="102" t="s">
        <v>8</v>
      </c>
      <c r="K11" s="106">
        <f t="shared" si="22"/>
        <v>0.18234462792774447</v>
      </c>
      <c r="L11" s="70">
        <f t="shared" si="23"/>
        <v>34899.492978968294</v>
      </c>
      <c r="M11" s="66">
        <f t="shared" si="24"/>
        <v>0.19370896816875013</v>
      </c>
      <c r="N11" s="25" t="s">
        <v>8</v>
      </c>
      <c r="O11" s="28">
        <f t="shared" si="25"/>
        <v>7.7248145848633737E-2</v>
      </c>
      <c r="P11" s="29">
        <f t="shared" si="26"/>
        <v>249076.00891403141</v>
      </c>
      <c r="Q11" s="73">
        <f t="shared" si="27"/>
        <v>249076.00891403141</v>
      </c>
      <c r="R11" s="135" t="s">
        <v>8</v>
      </c>
      <c r="S11" s="25" t="s">
        <v>8</v>
      </c>
      <c r="T11" s="30">
        <f t="shared" si="28"/>
        <v>0.27481571985928693</v>
      </c>
      <c r="U11" s="28">
        <f t="shared" si="29"/>
        <v>7.08056211707494E-2</v>
      </c>
      <c r="V11" s="46">
        <f t="shared" si="30"/>
        <v>261315.75790108074</v>
      </c>
      <c r="W11" s="73">
        <f t="shared" si="31"/>
        <v>261315.75790108074</v>
      </c>
      <c r="X11" s="69" t="s">
        <v>8</v>
      </c>
      <c r="Y11" s="25" t="s">
        <v>8</v>
      </c>
      <c r="Z11" s="30">
        <f t="shared" si="32"/>
        <v>0.35990810744536961</v>
      </c>
      <c r="AA11" s="28">
        <f t="shared" si="33"/>
        <v>4.975922510700298E-2</v>
      </c>
      <c r="AB11" s="46">
        <f t="shared" si="34"/>
        <v>203431.86675178842</v>
      </c>
      <c r="AC11" s="73">
        <f t="shared" si="35"/>
        <v>203431.86675178842</v>
      </c>
      <c r="AD11" s="69" t="s">
        <v>8</v>
      </c>
      <c r="AE11" s="25" t="s">
        <v>8</v>
      </c>
      <c r="AF11" s="30">
        <f t="shared" si="36"/>
        <v>0.42615173313424332</v>
      </c>
      <c r="AG11" s="28">
        <f t="shared" si="37"/>
        <v>4.025292676844533E-2</v>
      </c>
      <c r="AH11" s="46">
        <f t="shared" si="38"/>
        <v>178893.99790957599</v>
      </c>
      <c r="AI11" s="73">
        <f t="shared" si="39"/>
        <v>178893.99790957599</v>
      </c>
      <c r="AJ11" s="69" t="s">
        <v>8</v>
      </c>
      <c r="AK11" s="25" t="s">
        <v>8</v>
      </c>
      <c r="AL11" s="30">
        <f t="shared" si="40"/>
        <v>0.48440507969556279</v>
      </c>
      <c r="AM11" s="28">
        <f t="shared" si="41"/>
        <v>3.3631449839604421E-2</v>
      </c>
      <c r="AN11" s="46">
        <f t="shared" si="42"/>
        <v>160384.94839702069</v>
      </c>
      <c r="AO11" s="73">
        <f t="shared" si="43"/>
        <v>160384.94839702069</v>
      </c>
      <c r="AP11" s="69" t="s">
        <v>8</v>
      </c>
      <c r="AQ11" s="25" t="s">
        <v>8</v>
      </c>
      <c r="AR11" s="30">
        <f t="shared" si="44"/>
        <v>0.53663131473623471</v>
      </c>
      <c r="AS11" s="28">
        <f t="shared" si="45"/>
        <v>2.7899976177127916E-2</v>
      </c>
      <c r="AT11" s="46">
        <f t="shared" si="46"/>
        <v>141211.3849700455</v>
      </c>
      <c r="AU11" s="73">
        <f t="shared" si="47"/>
        <v>141211.3849700455</v>
      </c>
      <c r="AV11" s="69" t="s">
        <v>8</v>
      </c>
      <c r="AW11" s="25" t="s">
        <v>8</v>
      </c>
      <c r="AX11" s="30">
        <f t="shared" si="48"/>
        <v>0.58261405224105522</v>
      </c>
      <c r="AY11" s="28">
        <f t="shared" si="49"/>
        <v>2.2748861019882938E-2</v>
      </c>
      <c r="AZ11" s="46">
        <f t="shared" si="50"/>
        <v>120981.18318546705</v>
      </c>
      <c r="BA11" s="73">
        <f t="shared" si="51"/>
        <v>120981.18318546705</v>
      </c>
      <c r="BB11" s="69" t="s">
        <v>8</v>
      </c>
      <c r="BC11" s="25" t="s">
        <v>8</v>
      </c>
      <c r="BD11" s="30">
        <f t="shared" si="52"/>
        <v>0.62200921850629676</v>
      </c>
      <c r="BE11" s="28">
        <f t="shared" si="53"/>
        <v>2.1320903635335231E-2</v>
      </c>
      <c r="BF11" s="46">
        <f t="shared" si="54"/>
        <v>122104.9273659928</v>
      </c>
      <c r="BG11" s="73">
        <f t="shared" si="55"/>
        <v>122104.9273659928</v>
      </c>
      <c r="BH11" s="69" t="s">
        <v>8</v>
      </c>
      <c r="BI11" s="25" t="s">
        <v>8</v>
      </c>
      <c r="BJ11" s="30">
        <f t="shared" si="56"/>
        <v>0.66177031017965338</v>
      </c>
      <c r="BK11" s="28">
        <f t="shared" si="57"/>
        <v>1.8512549762318864E-2</v>
      </c>
      <c r="BL11" s="46">
        <f t="shared" si="58"/>
        <v>112083.0896786832</v>
      </c>
      <c r="BM11" s="73">
        <f t="shared" si="59"/>
        <v>25654.500828939341</v>
      </c>
      <c r="BN11" s="69" t="s">
        <v>8</v>
      </c>
      <c r="BO11" s="25" t="s">
        <v>8</v>
      </c>
      <c r="BP11" s="30">
        <f t="shared" si="60"/>
        <v>0.67012419876791807</v>
      </c>
      <c r="BQ11" s="28">
        <f t="shared" si="61"/>
        <v>1.8173888688165829E-2</v>
      </c>
      <c r="BR11" s="46">
        <f t="shared" si="62"/>
        <v>111567.82750973977</v>
      </c>
      <c r="BS11" s="113">
        <f t="shared" si="63"/>
        <v>0</v>
      </c>
      <c r="BT11" s="69" t="s">
        <v>8</v>
      </c>
      <c r="BU11" s="25" t="s">
        <v>8</v>
      </c>
      <c r="BV11" s="30">
        <f t="shared" si="64"/>
        <v>0.67012419876791807</v>
      </c>
      <c r="BW11" s="28">
        <f t="shared" si="65"/>
        <v>1.8173888688165829E-2</v>
      </c>
      <c r="BX11" s="46">
        <f t="shared" si="66"/>
        <v>111567.82750973977</v>
      </c>
      <c r="BY11" s="113">
        <f t="shared" si="67"/>
        <v>0</v>
      </c>
      <c r="BZ11" s="69" t="s">
        <v>8</v>
      </c>
      <c r="CA11" s="25" t="s">
        <v>8</v>
      </c>
      <c r="CB11" s="30">
        <f t="shared" si="68"/>
        <v>0.67012419876791807</v>
      </c>
      <c r="CC11" s="28">
        <f t="shared" si="69"/>
        <v>1.8173888688165829E-2</v>
      </c>
      <c r="CD11" s="46">
        <f t="shared" si="70"/>
        <v>111567.82750973977</v>
      </c>
      <c r="CE11" s="113">
        <f t="shared" si="71"/>
        <v>0</v>
      </c>
      <c r="CF11" s="69" t="s">
        <v>8</v>
      </c>
      <c r="CG11" s="25" t="s">
        <v>8</v>
      </c>
      <c r="CH11" s="30">
        <f t="shared" si="72"/>
        <v>0.67012419876791807</v>
      </c>
      <c r="CI11" s="28">
        <f t="shared" si="73"/>
        <v>1.8173888688165829E-2</v>
      </c>
      <c r="CJ11" s="46">
        <f t="shared" si="74"/>
        <v>111567.82750973977</v>
      </c>
      <c r="CK11" s="113">
        <f t="shared" si="75"/>
        <v>0</v>
      </c>
      <c r="CL11" s="69" t="s">
        <v>8</v>
      </c>
      <c r="CM11" s="25" t="s">
        <v>8</v>
      </c>
      <c r="CN11" s="30">
        <f t="shared" si="76"/>
        <v>0.67012419876791807</v>
      </c>
      <c r="CO11" s="28">
        <f t="shared" si="77"/>
        <v>1.8173888688165829E-2</v>
      </c>
      <c r="CP11" s="46">
        <f t="shared" si="78"/>
        <v>111567.82750973977</v>
      </c>
      <c r="CQ11" s="113">
        <f t="shared" si="79"/>
        <v>0</v>
      </c>
      <c r="CR11" s="69" t="s">
        <v>8</v>
      </c>
      <c r="CS11" s="25" t="s">
        <v>8</v>
      </c>
      <c r="CT11" s="30">
        <f t="shared" si="80"/>
        <v>0.67012419876791807</v>
      </c>
      <c r="CU11" s="28">
        <f t="shared" si="81"/>
        <v>1.8173888688165829E-2</v>
      </c>
      <c r="CV11" s="46">
        <f t="shared" si="82"/>
        <v>111567.82750973977</v>
      </c>
      <c r="CW11" s="113">
        <f t="shared" si="83"/>
        <v>0</v>
      </c>
      <c r="CX11" s="69" t="s">
        <v>8</v>
      </c>
      <c r="CY11" s="25" t="s">
        <v>8</v>
      </c>
      <c r="CZ11" s="30">
        <f t="shared" si="84"/>
        <v>0.67012419876791807</v>
      </c>
      <c r="DA11" s="28">
        <f t="shared" si="85"/>
        <v>1.8173888688165829E-2</v>
      </c>
      <c r="DB11" s="46">
        <f t="shared" si="86"/>
        <v>111567.82750973977</v>
      </c>
      <c r="DC11" s="113">
        <f t="shared" si="87"/>
        <v>0</v>
      </c>
      <c r="DD11" s="69" t="s">
        <v>8</v>
      </c>
      <c r="DE11" s="25" t="s">
        <v>8</v>
      </c>
      <c r="DF11" s="30">
        <f t="shared" si="88"/>
        <v>0.67012419876791807</v>
      </c>
      <c r="DG11" s="28">
        <f t="shared" si="89"/>
        <v>1.8173888688165829E-2</v>
      </c>
      <c r="DH11" s="46">
        <f t="shared" si="90"/>
        <v>111567.82750973977</v>
      </c>
      <c r="DI11" s="113">
        <f t="shared" si="91"/>
        <v>0</v>
      </c>
      <c r="DJ11" s="69" t="s">
        <v>8</v>
      </c>
      <c r="DK11" s="25" t="s">
        <v>8</v>
      </c>
      <c r="DL11" s="30">
        <f t="shared" si="92"/>
        <v>0.67012419876791807</v>
      </c>
      <c r="DM11" s="28">
        <f t="shared" si="93"/>
        <v>1.8173888688165829E-2</v>
      </c>
      <c r="DN11" s="46">
        <f t="shared" si="94"/>
        <v>111567.82750973977</v>
      </c>
      <c r="DO11" s="113">
        <f t="shared" si="95"/>
        <v>0</v>
      </c>
      <c r="DP11" s="69" t="s">
        <v>8</v>
      </c>
      <c r="DQ11" s="25" t="s">
        <v>8</v>
      </c>
      <c r="DR11" s="30">
        <f t="shared" si="96"/>
        <v>0.67012419876791807</v>
      </c>
      <c r="DS11" s="28">
        <f t="shared" si="97"/>
        <v>1.8173888688165829E-2</v>
      </c>
      <c r="DT11" s="46">
        <f t="shared" si="98"/>
        <v>111567.82750973977</v>
      </c>
      <c r="DU11" s="113">
        <f t="shared" si="99"/>
        <v>0</v>
      </c>
      <c r="DV11" s="69" t="s">
        <v>8</v>
      </c>
      <c r="DW11" s="25" t="s">
        <v>8</v>
      </c>
      <c r="DX11" s="30">
        <f t="shared" si="100"/>
        <v>0.67012419876791807</v>
      </c>
      <c r="DY11" s="28">
        <f t="shared" si="101"/>
        <v>1.8173888688165829E-2</v>
      </c>
      <c r="DZ11" s="29">
        <f t="shared" si="102"/>
        <v>111567.82750973977</v>
      </c>
      <c r="EA11" s="73">
        <f t="shared" si="103"/>
        <v>0</v>
      </c>
      <c r="EB11" s="69" t="s">
        <v>8</v>
      </c>
      <c r="EC11" s="25" t="s">
        <v>8</v>
      </c>
      <c r="ED11" s="30">
        <f t="shared" si="104"/>
        <v>0.67012419876791807</v>
      </c>
      <c r="EE11" s="28">
        <f t="shared" si="105"/>
        <v>1.8173888688165829E-2</v>
      </c>
      <c r="EF11" s="29">
        <f t="shared" si="106"/>
        <v>111567.82750973977</v>
      </c>
      <c r="EG11" s="73">
        <f t="shared" si="107"/>
        <v>0</v>
      </c>
      <c r="EH11" s="69" t="s">
        <v>8</v>
      </c>
      <c r="EI11" s="25" t="s">
        <v>8</v>
      </c>
      <c r="EJ11" s="30">
        <f t="shared" si="108"/>
        <v>0.67012419876791807</v>
      </c>
      <c r="EK11" s="28">
        <f t="shared" si="109"/>
        <v>1.8173888688165829E-2</v>
      </c>
      <c r="EL11" s="29">
        <f t="shared" si="110"/>
        <v>111567.82750973977</v>
      </c>
      <c r="EM11" s="73">
        <f t="shared" si="111"/>
        <v>0</v>
      </c>
      <c r="EN11" s="69" t="s">
        <v>8</v>
      </c>
      <c r="EO11" s="25" t="s">
        <v>8</v>
      </c>
      <c r="EP11" s="30">
        <f t="shared" si="112"/>
        <v>0.67012419876791807</v>
      </c>
      <c r="EQ11" s="28">
        <f t="shared" si="113"/>
        <v>1.8173888688165829E-2</v>
      </c>
      <c r="ER11" s="29">
        <f t="shared" si="114"/>
        <v>111567.82750973977</v>
      </c>
      <c r="ES11" s="73">
        <f t="shared" si="115"/>
        <v>0</v>
      </c>
      <c r="ET11" s="69" t="s">
        <v>8</v>
      </c>
      <c r="EU11" s="25" t="s">
        <v>8</v>
      </c>
      <c r="EV11" s="30">
        <f t="shared" si="116"/>
        <v>0.67012419876791807</v>
      </c>
      <c r="EW11" s="28">
        <f t="shared" si="117"/>
        <v>1.8173888688165829E-2</v>
      </c>
      <c r="EX11" s="29">
        <f t="shared" si="118"/>
        <v>111567.82750973977</v>
      </c>
      <c r="EY11" s="73">
        <f t="shared" si="119"/>
        <v>0</v>
      </c>
      <c r="EZ11" s="69" t="s">
        <v>8</v>
      </c>
      <c r="FA11" s="25" t="s">
        <v>8</v>
      </c>
      <c r="FB11" s="30">
        <f t="shared" si="120"/>
        <v>0.67012419876791807</v>
      </c>
      <c r="FC11" s="28">
        <f t="shared" si="121"/>
        <v>1.8173888688165829E-2</v>
      </c>
      <c r="FD11" s="29">
        <f t="shared" si="122"/>
        <v>111567.82750973977</v>
      </c>
      <c r="FE11" s="73">
        <f t="shared" si="123"/>
        <v>0</v>
      </c>
      <c r="FF11" s="69" t="s">
        <v>8</v>
      </c>
      <c r="FG11" s="25" t="s">
        <v>8</v>
      </c>
      <c r="FH11" s="30">
        <f t="shared" si="124"/>
        <v>0.67012419876791807</v>
      </c>
      <c r="FI11" s="28">
        <f t="shared" si="125"/>
        <v>1.8173888688165829E-2</v>
      </c>
      <c r="FJ11" s="29">
        <f t="shared" si="126"/>
        <v>111567.82750973977</v>
      </c>
      <c r="FK11" s="73">
        <f t="shared" si="127"/>
        <v>0</v>
      </c>
      <c r="FL11" s="69" t="s">
        <v>8</v>
      </c>
      <c r="FM11" s="25" t="s">
        <v>8</v>
      </c>
      <c r="FN11" s="30">
        <f t="shared" si="128"/>
        <v>0.67012419876791807</v>
      </c>
      <c r="FO11" s="28">
        <f t="shared" si="129"/>
        <v>1.8173888688165829E-2</v>
      </c>
      <c r="FP11" s="29">
        <f t="shared" si="130"/>
        <v>111567.82750973977</v>
      </c>
      <c r="FQ11" s="73">
        <f t="shared" si="131"/>
        <v>0</v>
      </c>
      <c r="FR11" s="69" t="s">
        <v>8</v>
      </c>
      <c r="FS11" s="25" t="s">
        <v>8</v>
      </c>
      <c r="FT11" s="30">
        <f t="shared" si="132"/>
        <v>0.67012419876791807</v>
      </c>
      <c r="FU11" s="28">
        <f t="shared" si="133"/>
        <v>1.8173888688165829E-2</v>
      </c>
      <c r="FV11" s="29">
        <f t="shared" si="134"/>
        <v>111567.82750973977</v>
      </c>
      <c r="FW11" s="73">
        <f t="shared" si="135"/>
        <v>0</v>
      </c>
      <c r="FX11" s="69" t="s">
        <v>8</v>
      </c>
      <c r="FY11" s="25" t="s">
        <v>8</v>
      </c>
      <c r="FZ11" s="30">
        <f t="shared" si="136"/>
        <v>0.67012419876791807</v>
      </c>
      <c r="GA11" s="28">
        <f t="shared" si="137"/>
        <v>1.8173888688165829E-2</v>
      </c>
      <c r="GB11" s="29">
        <f t="shared" si="138"/>
        <v>111567.82750973977</v>
      </c>
      <c r="GC11" s="73">
        <f t="shared" si="139"/>
        <v>0</v>
      </c>
      <c r="GD11" s="69" t="s">
        <v>8</v>
      </c>
      <c r="GE11" s="25" t="s">
        <v>8</v>
      </c>
      <c r="GF11" s="30">
        <f t="shared" si="140"/>
        <v>0.67012419876791807</v>
      </c>
      <c r="GG11" s="28">
        <f t="shared" si="141"/>
        <v>1.8173888688165829E-2</v>
      </c>
      <c r="GH11" s="29">
        <f t="shared" si="142"/>
        <v>111567.82750973977</v>
      </c>
      <c r="GI11" s="113">
        <f t="shared" si="143"/>
        <v>0</v>
      </c>
      <c r="GJ11" s="142">
        <f t="shared" si="146"/>
        <v>1463054.5762239418</v>
      </c>
      <c r="GK11" s="238">
        <f t="shared" si="144"/>
        <v>1497954.0692029099</v>
      </c>
      <c r="GL11" s="196">
        <f t="shared" si="145"/>
        <v>0.67012419876791807</v>
      </c>
      <c r="GM11" s="86">
        <v>1497954.07</v>
      </c>
    </row>
    <row r="12" spans="1:195" s="20" customFormat="1" x14ac:dyDescent="0.25">
      <c r="A12" s="159" t="s">
        <v>175</v>
      </c>
      <c r="B12" s="130" t="s">
        <v>8</v>
      </c>
      <c r="C12" s="130" t="s">
        <v>8</v>
      </c>
      <c r="D12" s="130" t="s">
        <v>8</v>
      </c>
      <c r="E12" s="130" t="s">
        <v>8</v>
      </c>
      <c r="F12" s="130" t="s">
        <v>8</v>
      </c>
      <c r="G12" s="95">
        <f>'Исходные данные'!C14</f>
        <v>436</v>
      </c>
      <c r="H12" s="42">
        <f>'Исходные данные'!E14</f>
        <v>775690</v>
      </c>
      <c r="I12" s="27">
        <f>'Расчет КРП'!G10</f>
        <v>4.2706601759906979</v>
      </c>
      <c r="J12" s="102" t="s">
        <v>8</v>
      </c>
      <c r="K12" s="106">
        <f t="shared" si="22"/>
        <v>0.23373082449932273</v>
      </c>
      <c r="L12" s="70">
        <f t="shared" si="23"/>
        <v>38816.783007219841</v>
      </c>
      <c r="M12" s="66">
        <f t="shared" si="24"/>
        <v>0.24542709323643269</v>
      </c>
      <c r="N12" s="25" t="s">
        <v>8</v>
      </c>
      <c r="O12" s="28">
        <f t="shared" si="25"/>
        <v>2.5530020780951179E-2</v>
      </c>
      <c r="P12" s="29">
        <f t="shared" si="26"/>
        <v>88959.496090928529</v>
      </c>
      <c r="Q12" s="73">
        <f t="shared" si="27"/>
        <v>88959.496090928529</v>
      </c>
      <c r="R12" s="135" t="s">
        <v>8</v>
      </c>
      <c r="S12" s="25" t="s">
        <v>8</v>
      </c>
      <c r="T12" s="30">
        <f t="shared" si="28"/>
        <v>0.27223235870121498</v>
      </c>
      <c r="U12" s="28">
        <f t="shared" si="29"/>
        <v>7.3388982328821351E-2</v>
      </c>
      <c r="V12" s="46">
        <f t="shared" si="30"/>
        <v>292702.23558969266</v>
      </c>
      <c r="W12" s="73">
        <f t="shared" si="31"/>
        <v>292702.23558969266</v>
      </c>
      <c r="X12" s="69" t="s">
        <v>8</v>
      </c>
      <c r="Y12" s="25" t="s">
        <v>8</v>
      </c>
      <c r="Z12" s="30">
        <f t="shared" si="32"/>
        <v>0.36042936376402857</v>
      </c>
      <c r="AA12" s="28">
        <f t="shared" si="33"/>
        <v>4.9237968788344022E-2</v>
      </c>
      <c r="AB12" s="46">
        <f t="shared" si="34"/>
        <v>217541.84938549827</v>
      </c>
      <c r="AC12" s="73">
        <f t="shared" si="35"/>
        <v>217541.84938549827</v>
      </c>
      <c r="AD12" s="69" t="s">
        <v>8</v>
      </c>
      <c r="AE12" s="25" t="s">
        <v>8</v>
      </c>
      <c r="AF12" s="30">
        <f t="shared" si="36"/>
        <v>0.42597904961788774</v>
      </c>
      <c r="AG12" s="28">
        <f t="shared" si="37"/>
        <v>4.0425610284800906E-2</v>
      </c>
      <c r="AH12" s="46">
        <f t="shared" si="38"/>
        <v>194156.62017580538</v>
      </c>
      <c r="AI12" s="73">
        <f t="shared" si="39"/>
        <v>194156.62017580538</v>
      </c>
      <c r="AJ12" s="69" t="s">
        <v>8</v>
      </c>
      <c r="AK12" s="25" t="s">
        <v>8</v>
      </c>
      <c r="AL12" s="30">
        <f t="shared" si="40"/>
        <v>0.48448230080804472</v>
      </c>
      <c r="AM12" s="28">
        <f t="shared" si="41"/>
        <v>3.3554228727122493E-2</v>
      </c>
      <c r="AN12" s="46">
        <f t="shared" si="42"/>
        <v>172926.91395876481</v>
      </c>
      <c r="AO12" s="73">
        <f t="shared" si="43"/>
        <v>172926.91395876481</v>
      </c>
      <c r="AP12" s="69" t="s">
        <v>8</v>
      </c>
      <c r="AQ12" s="25" t="s">
        <v>8</v>
      </c>
      <c r="AR12" s="30">
        <f t="shared" si="44"/>
        <v>0.53658861928282908</v>
      </c>
      <c r="AS12" s="28">
        <f t="shared" si="45"/>
        <v>2.7942671630533544E-2</v>
      </c>
      <c r="AT12" s="46">
        <f t="shared" si="46"/>
        <v>152837.9201175099</v>
      </c>
      <c r="AU12" s="73">
        <f t="shared" si="47"/>
        <v>152837.9201175099</v>
      </c>
      <c r="AV12" s="69" t="s">
        <v>8</v>
      </c>
      <c r="AW12" s="25" t="s">
        <v>8</v>
      </c>
      <c r="AX12" s="30">
        <f t="shared" si="48"/>
        <v>0.582641724368401</v>
      </c>
      <c r="AY12" s="28">
        <f t="shared" si="49"/>
        <v>2.2721188892537159E-2</v>
      </c>
      <c r="AZ12" s="46">
        <f t="shared" si="50"/>
        <v>130582.96760372905</v>
      </c>
      <c r="BA12" s="73">
        <f t="shared" si="51"/>
        <v>130582.96760372905</v>
      </c>
      <c r="BB12" s="69" t="s">
        <v>8</v>
      </c>
      <c r="BC12" s="25" t="s">
        <v>8</v>
      </c>
      <c r="BD12" s="30">
        <f t="shared" si="52"/>
        <v>0.6219889696385319</v>
      </c>
      <c r="BE12" s="28">
        <f t="shared" si="53"/>
        <v>2.1341152503100091E-2</v>
      </c>
      <c r="BF12" s="46">
        <f t="shared" si="54"/>
        <v>132081.73447981165</v>
      </c>
      <c r="BG12" s="73">
        <f t="shared" si="55"/>
        <v>132081.73447981165</v>
      </c>
      <c r="BH12" s="69" t="s">
        <v>8</v>
      </c>
      <c r="BI12" s="25" t="s">
        <v>8</v>
      </c>
      <c r="BJ12" s="30">
        <f t="shared" si="56"/>
        <v>0.66178782317701634</v>
      </c>
      <c r="BK12" s="28">
        <f t="shared" si="57"/>
        <v>1.8495036764955897E-2</v>
      </c>
      <c r="BL12" s="46">
        <f t="shared" si="58"/>
        <v>121011.42245922323</v>
      </c>
      <c r="BM12" s="73">
        <f t="shared" si="59"/>
        <v>27698.091181204349</v>
      </c>
      <c r="BN12" s="69" t="s">
        <v>8</v>
      </c>
      <c r="BO12" s="25" t="s">
        <v>8</v>
      </c>
      <c r="BP12" s="30">
        <f t="shared" si="60"/>
        <v>0.67013380893013974</v>
      </c>
      <c r="BQ12" s="28">
        <f t="shared" si="61"/>
        <v>1.8164278525944155E-2</v>
      </c>
      <c r="BR12" s="46">
        <f t="shared" si="62"/>
        <v>120505.41899051082</v>
      </c>
      <c r="BS12" s="113">
        <f t="shared" si="63"/>
        <v>0</v>
      </c>
      <c r="BT12" s="69" t="s">
        <v>8</v>
      </c>
      <c r="BU12" s="25" t="s">
        <v>8</v>
      </c>
      <c r="BV12" s="30">
        <f t="shared" si="64"/>
        <v>0.67013380893013974</v>
      </c>
      <c r="BW12" s="28">
        <f t="shared" si="65"/>
        <v>1.8164278525944155E-2</v>
      </c>
      <c r="BX12" s="46">
        <f t="shared" si="66"/>
        <v>120505.41899051082</v>
      </c>
      <c r="BY12" s="113">
        <f t="shared" si="67"/>
        <v>0</v>
      </c>
      <c r="BZ12" s="69" t="s">
        <v>8</v>
      </c>
      <c r="CA12" s="25" t="s">
        <v>8</v>
      </c>
      <c r="CB12" s="30">
        <f t="shared" si="68"/>
        <v>0.67013380893013974</v>
      </c>
      <c r="CC12" s="28">
        <f t="shared" si="69"/>
        <v>1.8164278525944155E-2</v>
      </c>
      <c r="CD12" s="46">
        <f t="shared" si="70"/>
        <v>120505.41899051082</v>
      </c>
      <c r="CE12" s="113">
        <f t="shared" si="71"/>
        <v>0</v>
      </c>
      <c r="CF12" s="69" t="s">
        <v>8</v>
      </c>
      <c r="CG12" s="25" t="s">
        <v>8</v>
      </c>
      <c r="CH12" s="30">
        <f t="shared" si="72"/>
        <v>0.67013380893013974</v>
      </c>
      <c r="CI12" s="28">
        <f t="shared" si="73"/>
        <v>1.8164278525944155E-2</v>
      </c>
      <c r="CJ12" s="46">
        <f t="shared" si="74"/>
        <v>120505.41899051082</v>
      </c>
      <c r="CK12" s="113">
        <f t="shared" si="75"/>
        <v>0</v>
      </c>
      <c r="CL12" s="69" t="s">
        <v>8</v>
      </c>
      <c r="CM12" s="25" t="s">
        <v>8</v>
      </c>
      <c r="CN12" s="30">
        <f t="shared" si="76"/>
        <v>0.67013380893013974</v>
      </c>
      <c r="CO12" s="28">
        <f t="shared" si="77"/>
        <v>1.8164278525944155E-2</v>
      </c>
      <c r="CP12" s="46">
        <f t="shared" si="78"/>
        <v>120505.41899051082</v>
      </c>
      <c r="CQ12" s="113">
        <f t="shared" si="79"/>
        <v>0</v>
      </c>
      <c r="CR12" s="69" t="s">
        <v>8</v>
      </c>
      <c r="CS12" s="25" t="s">
        <v>8</v>
      </c>
      <c r="CT12" s="30">
        <f t="shared" si="80"/>
        <v>0.67013380893013974</v>
      </c>
      <c r="CU12" s="28">
        <f t="shared" si="81"/>
        <v>1.8164278525944155E-2</v>
      </c>
      <c r="CV12" s="46">
        <f t="shared" si="82"/>
        <v>120505.41899051082</v>
      </c>
      <c r="CW12" s="113">
        <f t="shared" si="83"/>
        <v>0</v>
      </c>
      <c r="CX12" s="69" t="s">
        <v>8</v>
      </c>
      <c r="CY12" s="25" t="s">
        <v>8</v>
      </c>
      <c r="CZ12" s="30">
        <f t="shared" si="84"/>
        <v>0.67013380893013974</v>
      </c>
      <c r="DA12" s="28">
        <f t="shared" si="85"/>
        <v>1.8164278525944155E-2</v>
      </c>
      <c r="DB12" s="46">
        <f t="shared" si="86"/>
        <v>120505.41899051082</v>
      </c>
      <c r="DC12" s="113">
        <f t="shared" si="87"/>
        <v>0</v>
      </c>
      <c r="DD12" s="69" t="s">
        <v>8</v>
      </c>
      <c r="DE12" s="25" t="s">
        <v>8</v>
      </c>
      <c r="DF12" s="30">
        <f t="shared" si="88"/>
        <v>0.67013380893013974</v>
      </c>
      <c r="DG12" s="28">
        <f t="shared" si="89"/>
        <v>1.8164278525944155E-2</v>
      </c>
      <c r="DH12" s="46">
        <f t="shared" si="90"/>
        <v>120505.41899051082</v>
      </c>
      <c r="DI12" s="113">
        <f t="shared" si="91"/>
        <v>0</v>
      </c>
      <c r="DJ12" s="69" t="s">
        <v>8</v>
      </c>
      <c r="DK12" s="25" t="s">
        <v>8</v>
      </c>
      <c r="DL12" s="30">
        <f t="shared" si="92"/>
        <v>0.67013380893013974</v>
      </c>
      <c r="DM12" s="28">
        <f t="shared" si="93"/>
        <v>1.8164278525944155E-2</v>
      </c>
      <c r="DN12" s="46">
        <f t="shared" si="94"/>
        <v>120505.41899051082</v>
      </c>
      <c r="DO12" s="113">
        <f t="shared" si="95"/>
        <v>0</v>
      </c>
      <c r="DP12" s="69" t="s">
        <v>8</v>
      </c>
      <c r="DQ12" s="25" t="s">
        <v>8</v>
      </c>
      <c r="DR12" s="30">
        <f t="shared" si="96"/>
        <v>0.67013380893013974</v>
      </c>
      <c r="DS12" s="28">
        <f t="shared" si="97"/>
        <v>1.8164278525944155E-2</v>
      </c>
      <c r="DT12" s="46">
        <f t="shared" si="98"/>
        <v>120505.41899051082</v>
      </c>
      <c r="DU12" s="113">
        <f t="shared" si="99"/>
        <v>0</v>
      </c>
      <c r="DV12" s="69" t="s">
        <v>8</v>
      </c>
      <c r="DW12" s="25" t="s">
        <v>8</v>
      </c>
      <c r="DX12" s="30">
        <f t="shared" si="100"/>
        <v>0.67013380893013974</v>
      </c>
      <c r="DY12" s="28">
        <f t="shared" si="101"/>
        <v>1.8164278525944155E-2</v>
      </c>
      <c r="DZ12" s="29">
        <f t="shared" si="102"/>
        <v>120505.41899051082</v>
      </c>
      <c r="EA12" s="73">
        <f t="shared" si="103"/>
        <v>0</v>
      </c>
      <c r="EB12" s="69" t="s">
        <v>8</v>
      </c>
      <c r="EC12" s="25" t="s">
        <v>8</v>
      </c>
      <c r="ED12" s="30">
        <f t="shared" si="104"/>
        <v>0.67013380893013974</v>
      </c>
      <c r="EE12" s="28">
        <f t="shared" si="105"/>
        <v>1.8164278525944155E-2</v>
      </c>
      <c r="EF12" s="29">
        <f t="shared" si="106"/>
        <v>120505.41899051082</v>
      </c>
      <c r="EG12" s="73">
        <f t="shared" si="107"/>
        <v>0</v>
      </c>
      <c r="EH12" s="69" t="s">
        <v>8</v>
      </c>
      <c r="EI12" s="25" t="s">
        <v>8</v>
      </c>
      <c r="EJ12" s="30">
        <f t="shared" si="108"/>
        <v>0.67013380893013974</v>
      </c>
      <c r="EK12" s="28">
        <f t="shared" si="109"/>
        <v>1.8164278525944155E-2</v>
      </c>
      <c r="EL12" s="29">
        <f t="shared" si="110"/>
        <v>120505.41899051082</v>
      </c>
      <c r="EM12" s="73">
        <f t="shared" si="111"/>
        <v>0</v>
      </c>
      <c r="EN12" s="69" t="s">
        <v>8</v>
      </c>
      <c r="EO12" s="25" t="s">
        <v>8</v>
      </c>
      <c r="EP12" s="30">
        <f t="shared" si="112"/>
        <v>0.67013380893013974</v>
      </c>
      <c r="EQ12" s="28">
        <f t="shared" si="113"/>
        <v>1.8164278525944155E-2</v>
      </c>
      <c r="ER12" s="29">
        <f t="shared" si="114"/>
        <v>120505.41899051082</v>
      </c>
      <c r="ES12" s="73">
        <f t="shared" si="115"/>
        <v>0</v>
      </c>
      <c r="ET12" s="69" t="s">
        <v>8</v>
      </c>
      <c r="EU12" s="25" t="s">
        <v>8</v>
      </c>
      <c r="EV12" s="30">
        <f t="shared" si="116"/>
        <v>0.67013380893013974</v>
      </c>
      <c r="EW12" s="28">
        <f t="shared" si="117"/>
        <v>1.8164278525944155E-2</v>
      </c>
      <c r="EX12" s="29">
        <f t="shared" si="118"/>
        <v>120505.41899051082</v>
      </c>
      <c r="EY12" s="73">
        <f t="shared" si="119"/>
        <v>0</v>
      </c>
      <c r="EZ12" s="69" t="s">
        <v>8</v>
      </c>
      <c r="FA12" s="25" t="s">
        <v>8</v>
      </c>
      <c r="FB12" s="30">
        <f t="shared" si="120"/>
        <v>0.67013380893013974</v>
      </c>
      <c r="FC12" s="28">
        <f t="shared" si="121"/>
        <v>1.8164278525944155E-2</v>
      </c>
      <c r="FD12" s="29">
        <f t="shared" si="122"/>
        <v>120505.41899051082</v>
      </c>
      <c r="FE12" s="73">
        <f t="shared" si="123"/>
        <v>0</v>
      </c>
      <c r="FF12" s="69" t="s">
        <v>8</v>
      </c>
      <c r="FG12" s="25" t="s">
        <v>8</v>
      </c>
      <c r="FH12" s="30">
        <f t="shared" si="124"/>
        <v>0.67013380893013974</v>
      </c>
      <c r="FI12" s="28">
        <f t="shared" si="125"/>
        <v>1.8164278525944155E-2</v>
      </c>
      <c r="FJ12" s="29">
        <f t="shared" si="126"/>
        <v>120505.41899051082</v>
      </c>
      <c r="FK12" s="73">
        <f t="shared" si="127"/>
        <v>0</v>
      </c>
      <c r="FL12" s="69" t="s">
        <v>8</v>
      </c>
      <c r="FM12" s="25" t="s">
        <v>8</v>
      </c>
      <c r="FN12" s="30">
        <f t="shared" si="128"/>
        <v>0.67013380893013974</v>
      </c>
      <c r="FO12" s="28">
        <f t="shared" si="129"/>
        <v>1.8164278525944155E-2</v>
      </c>
      <c r="FP12" s="29">
        <f t="shared" si="130"/>
        <v>120505.41899051082</v>
      </c>
      <c r="FQ12" s="73">
        <f t="shared" si="131"/>
        <v>0</v>
      </c>
      <c r="FR12" s="69" t="s">
        <v>8</v>
      </c>
      <c r="FS12" s="25" t="s">
        <v>8</v>
      </c>
      <c r="FT12" s="30">
        <f t="shared" si="132"/>
        <v>0.67013380893013974</v>
      </c>
      <c r="FU12" s="28">
        <f t="shared" si="133"/>
        <v>1.8164278525944155E-2</v>
      </c>
      <c r="FV12" s="29">
        <f t="shared" si="134"/>
        <v>120505.41899051082</v>
      </c>
      <c r="FW12" s="73">
        <f t="shared" si="135"/>
        <v>0</v>
      </c>
      <c r="FX12" s="69" t="s">
        <v>8</v>
      </c>
      <c r="FY12" s="25" t="s">
        <v>8</v>
      </c>
      <c r="FZ12" s="30">
        <f t="shared" si="136"/>
        <v>0.67013380893013974</v>
      </c>
      <c r="GA12" s="28">
        <f t="shared" si="137"/>
        <v>1.8164278525944155E-2</v>
      </c>
      <c r="GB12" s="29">
        <f t="shared" si="138"/>
        <v>120505.41899051082</v>
      </c>
      <c r="GC12" s="73">
        <f t="shared" si="139"/>
        <v>0</v>
      </c>
      <c r="GD12" s="69" t="s">
        <v>8</v>
      </c>
      <c r="GE12" s="25" t="s">
        <v>8</v>
      </c>
      <c r="GF12" s="30">
        <f t="shared" si="140"/>
        <v>0.67013380893013974</v>
      </c>
      <c r="GG12" s="28">
        <f t="shared" si="141"/>
        <v>1.8164278525944155E-2</v>
      </c>
      <c r="GH12" s="29">
        <f t="shared" si="142"/>
        <v>120505.41899051082</v>
      </c>
      <c r="GI12" s="113">
        <f t="shared" si="143"/>
        <v>0</v>
      </c>
      <c r="GJ12" s="142">
        <f t="shared" si="146"/>
        <v>1409487.8285829448</v>
      </c>
      <c r="GK12" s="238">
        <f t="shared" si="144"/>
        <v>1448304.6115901647</v>
      </c>
      <c r="GL12" s="196">
        <f t="shared" si="145"/>
        <v>0.67013380893013985</v>
      </c>
      <c r="GM12" s="86">
        <v>1448304.61</v>
      </c>
    </row>
    <row r="13" spans="1:195" s="20" customFormat="1" ht="15.75" customHeight="1" x14ac:dyDescent="0.25">
      <c r="A13" s="159" t="s">
        <v>176</v>
      </c>
      <c r="B13" s="130" t="s">
        <v>8</v>
      </c>
      <c r="C13" s="130" t="s">
        <v>8</v>
      </c>
      <c r="D13" s="130" t="s">
        <v>8</v>
      </c>
      <c r="E13" s="130" t="s">
        <v>8</v>
      </c>
      <c r="F13" s="130" t="s">
        <v>8</v>
      </c>
      <c r="G13" s="95">
        <f>'Исходные данные'!C15</f>
        <v>656</v>
      </c>
      <c r="H13" s="42">
        <f>'Исходные данные'!E15</f>
        <v>1441204</v>
      </c>
      <c r="I13" s="27">
        <f>'Расчет КРП'!G11</f>
        <v>3.7877302207186476</v>
      </c>
      <c r="J13" s="102" t="s">
        <v>8</v>
      </c>
      <c r="K13" s="106">
        <f t="shared" si="22"/>
        <v>0.32542572668971759</v>
      </c>
      <c r="L13" s="70">
        <f t="shared" si="23"/>
        <v>58403.23314847755</v>
      </c>
      <c r="M13" s="66">
        <f t="shared" si="24"/>
        <v>0.33861325225054889</v>
      </c>
      <c r="N13" s="25" t="s">
        <v>8</v>
      </c>
      <c r="O13" s="28">
        <f t="shared" si="25"/>
        <v>-6.765613823316502E-2</v>
      </c>
      <c r="P13" s="29">
        <f t="shared" si="26"/>
        <v>0</v>
      </c>
      <c r="Q13" s="73">
        <f t="shared" si="27"/>
        <v>0</v>
      </c>
      <c r="R13" s="135" t="s">
        <v>8</v>
      </c>
      <c r="S13" s="25" t="s">
        <v>8</v>
      </c>
      <c r="T13" s="30">
        <f t="shared" si="28"/>
        <v>0.33861325225054889</v>
      </c>
      <c r="U13" s="28">
        <f t="shared" si="29"/>
        <v>7.0080887794874425E-3</v>
      </c>
      <c r="V13" s="46">
        <f t="shared" si="30"/>
        <v>37298.910204560496</v>
      </c>
      <c r="W13" s="73">
        <f t="shared" si="31"/>
        <v>37298.910204560496</v>
      </c>
      <c r="X13" s="69" t="s">
        <v>8</v>
      </c>
      <c r="Y13" s="25" t="s">
        <v>8</v>
      </c>
      <c r="Z13" s="30">
        <f t="shared" si="32"/>
        <v>0.34703539440256453</v>
      </c>
      <c r="AA13" s="28">
        <f t="shared" si="33"/>
        <v>6.2631938149808053E-2</v>
      </c>
      <c r="AB13" s="46">
        <f t="shared" si="34"/>
        <v>369266.50219997729</v>
      </c>
      <c r="AC13" s="73">
        <f t="shared" si="35"/>
        <v>369266.50219997729</v>
      </c>
      <c r="AD13" s="69" t="s">
        <v>8</v>
      </c>
      <c r="AE13" s="25" t="s">
        <v>8</v>
      </c>
      <c r="AF13" s="30">
        <f t="shared" si="36"/>
        <v>0.43041624806422368</v>
      </c>
      <c r="AG13" s="28">
        <f t="shared" si="37"/>
        <v>3.5988411838464962E-2</v>
      </c>
      <c r="AH13" s="46">
        <f t="shared" si="38"/>
        <v>230653.3007914788</v>
      </c>
      <c r="AI13" s="73">
        <f t="shared" si="39"/>
        <v>230653.3007914788</v>
      </c>
      <c r="AJ13" s="69" t="s">
        <v>8</v>
      </c>
      <c r="AK13" s="25" t="s">
        <v>8</v>
      </c>
      <c r="AL13" s="30">
        <f t="shared" si="40"/>
        <v>0.4824980616197293</v>
      </c>
      <c r="AM13" s="28">
        <f t="shared" si="41"/>
        <v>3.553846791543791E-2</v>
      </c>
      <c r="AN13" s="46">
        <f t="shared" si="42"/>
        <v>244407.99347701448</v>
      </c>
      <c r="AO13" s="73">
        <f t="shared" si="43"/>
        <v>244407.99347701448</v>
      </c>
      <c r="AP13" s="69" t="s">
        <v>8</v>
      </c>
      <c r="AQ13" s="25" t="s">
        <v>8</v>
      </c>
      <c r="AR13" s="30">
        <f t="shared" si="44"/>
        <v>0.53768570256857007</v>
      </c>
      <c r="AS13" s="28">
        <f t="shared" si="45"/>
        <v>2.6845588344792559E-2</v>
      </c>
      <c r="AT13" s="46">
        <f t="shared" si="46"/>
        <v>195946.49169394479</v>
      </c>
      <c r="AU13" s="73">
        <f t="shared" si="47"/>
        <v>195946.49169394479</v>
      </c>
      <c r="AV13" s="69" t="s">
        <v>8</v>
      </c>
      <c r="AW13" s="25" t="s">
        <v>8</v>
      </c>
      <c r="AX13" s="30">
        <f t="shared" si="48"/>
        <v>0.58193067375363672</v>
      </c>
      <c r="AY13" s="28">
        <f t="shared" si="49"/>
        <v>2.3432239507301444E-2</v>
      </c>
      <c r="AZ13" s="46">
        <f t="shared" si="50"/>
        <v>179709.34177982336</v>
      </c>
      <c r="BA13" s="73">
        <f t="shared" si="51"/>
        <v>179709.34177982336</v>
      </c>
      <c r="BB13" s="69" t="s">
        <v>8</v>
      </c>
      <c r="BC13" s="25" t="s">
        <v>8</v>
      </c>
      <c r="BD13" s="30">
        <f t="shared" si="52"/>
        <v>0.62250927549331403</v>
      </c>
      <c r="BE13" s="28">
        <f t="shared" si="53"/>
        <v>2.0820846648317959E-2</v>
      </c>
      <c r="BF13" s="46">
        <f t="shared" si="54"/>
        <v>171958.89808426049</v>
      </c>
      <c r="BG13" s="73">
        <f t="shared" si="55"/>
        <v>171958.89808426049</v>
      </c>
      <c r="BH13" s="69" t="s">
        <v>8</v>
      </c>
      <c r="BI13" s="25" t="s">
        <v>8</v>
      </c>
      <c r="BJ13" s="30">
        <f t="shared" si="56"/>
        <v>0.66133781702513983</v>
      </c>
      <c r="BK13" s="28">
        <f t="shared" si="57"/>
        <v>1.8945042916832411E-2</v>
      </c>
      <c r="BL13" s="46">
        <f t="shared" si="58"/>
        <v>165412.42720268265</v>
      </c>
      <c r="BM13" s="73">
        <f t="shared" si="59"/>
        <v>37860.958891777991</v>
      </c>
      <c r="BN13" s="69" t="s">
        <v>8</v>
      </c>
      <c r="BO13" s="25" t="s">
        <v>8</v>
      </c>
      <c r="BP13" s="30">
        <f t="shared" si="60"/>
        <v>0.6698868704974632</v>
      </c>
      <c r="BQ13" s="28">
        <f t="shared" si="61"/>
        <v>1.8411216958620691E-2</v>
      </c>
      <c r="BR13" s="46">
        <f t="shared" si="62"/>
        <v>162994.25382761317</v>
      </c>
      <c r="BS13" s="113">
        <f t="shared" si="63"/>
        <v>0</v>
      </c>
      <c r="BT13" s="69" t="s">
        <v>8</v>
      </c>
      <c r="BU13" s="25" t="s">
        <v>8</v>
      </c>
      <c r="BV13" s="30">
        <f t="shared" si="64"/>
        <v>0.6698868704974632</v>
      </c>
      <c r="BW13" s="28">
        <f t="shared" si="65"/>
        <v>1.8411216958620691E-2</v>
      </c>
      <c r="BX13" s="46">
        <f t="shared" si="66"/>
        <v>162994.25382761317</v>
      </c>
      <c r="BY13" s="113">
        <f t="shared" si="67"/>
        <v>0</v>
      </c>
      <c r="BZ13" s="69" t="s">
        <v>8</v>
      </c>
      <c r="CA13" s="25" t="s">
        <v>8</v>
      </c>
      <c r="CB13" s="30">
        <f t="shared" si="68"/>
        <v>0.6698868704974632</v>
      </c>
      <c r="CC13" s="28">
        <f t="shared" si="69"/>
        <v>1.8411216958620691E-2</v>
      </c>
      <c r="CD13" s="46">
        <f t="shared" si="70"/>
        <v>162994.25382761317</v>
      </c>
      <c r="CE13" s="113">
        <f t="shared" si="71"/>
        <v>0</v>
      </c>
      <c r="CF13" s="69" t="s">
        <v>8</v>
      </c>
      <c r="CG13" s="25" t="s">
        <v>8</v>
      </c>
      <c r="CH13" s="30">
        <f t="shared" si="72"/>
        <v>0.6698868704974632</v>
      </c>
      <c r="CI13" s="28">
        <f t="shared" si="73"/>
        <v>1.8411216958620691E-2</v>
      </c>
      <c r="CJ13" s="46">
        <f t="shared" si="74"/>
        <v>162994.25382761317</v>
      </c>
      <c r="CK13" s="113">
        <f t="shared" si="75"/>
        <v>0</v>
      </c>
      <c r="CL13" s="69" t="s">
        <v>8</v>
      </c>
      <c r="CM13" s="25" t="s">
        <v>8</v>
      </c>
      <c r="CN13" s="30">
        <f t="shared" si="76"/>
        <v>0.6698868704974632</v>
      </c>
      <c r="CO13" s="28">
        <f t="shared" si="77"/>
        <v>1.8411216958620691E-2</v>
      </c>
      <c r="CP13" s="46">
        <f t="shared" si="78"/>
        <v>162994.25382761317</v>
      </c>
      <c r="CQ13" s="113">
        <f t="shared" si="79"/>
        <v>0</v>
      </c>
      <c r="CR13" s="69" t="s">
        <v>8</v>
      </c>
      <c r="CS13" s="25" t="s">
        <v>8</v>
      </c>
      <c r="CT13" s="30">
        <f t="shared" si="80"/>
        <v>0.6698868704974632</v>
      </c>
      <c r="CU13" s="28">
        <f t="shared" si="81"/>
        <v>1.8411216958620691E-2</v>
      </c>
      <c r="CV13" s="46">
        <f t="shared" si="82"/>
        <v>162994.25382761317</v>
      </c>
      <c r="CW13" s="113">
        <f t="shared" si="83"/>
        <v>0</v>
      </c>
      <c r="CX13" s="69" t="s">
        <v>8</v>
      </c>
      <c r="CY13" s="25" t="s">
        <v>8</v>
      </c>
      <c r="CZ13" s="30">
        <f t="shared" si="84"/>
        <v>0.6698868704974632</v>
      </c>
      <c r="DA13" s="28">
        <f t="shared" si="85"/>
        <v>1.8411216958620691E-2</v>
      </c>
      <c r="DB13" s="46">
        <f t="shared" si="86"/>
        <v>162994.25382761317</v>
      </c>
      <c r="DC13" s="113">
        <f t="shared" si="87"/>
        <v>0</v>
      </c>
      <c r="DD13" s="69" t="s">
        <v>8</v>
      </c>
      <c r="DE13" s="25" t="s">
        <v>8</v>
      </c>
      <c r="DF13" s="30">
        <f t="shared" si="88"/>
        <v>0.6698868704974632</v>
      </c>
      <c r="DG13" s="28">
        <f t="shared" si="89"/>
        <v>1.8411216958620691E-2</v>
      </c>
      <c r="DH13" s="46">
        <f t="shared" si="90"/>
        <v>162994.25382761317</v>
      </c>
      <c r="DI13" s="113">
        <f t="shared" si="91"/>
        <v>0</v>
      </c>
      <c r="DJ13" s="69" t="s">
        <v>8</v>
      </c>
      <c r="DK13" s="25" t="s">
        <v>8</v>
      </c>
      <c r="DL13" s="30">
        <f t="shared" si="92"/>
        <v>0.6698868704974632</v>
      </c>
      <c r="DM13" s="28">
        <f t="shared" si="93"/>
        <v>1.8411216958620691E-2</v>
      </c>
      <c r="DN13" s="46">
        <f t="shared" si="94"/>
        <v>162994.25382761317</v>
      </c>
      <c r="DO13" s="113">
        <f t="shared" si="95"/>
        <v>0</v>
      </c>
      <c r="DP13" s="69" t="s">
        <v>8</v>
      </c>
      <c r="DQ13" s="25" t="s">
        <v>8</v>
      </c>
      <c r="DR13" s="30">
        <f t="shared" si="96"/>
        <v>0.6698868704974632</v>
      </c>
      <c r="DS13" s="28">
        <f t="shared" si="97"/>
        <v>1.8411216958620691E-2</v>
      </c>
      <c r="DT13" s="46">
        <f t="shared" si="98"/>
        <v>162994.25382761317</v>
      </c>
      <c r="DU13" s="113">
        <f t="shared" si="99"/>
        <v>0</v>
      </c>
      <c r="DV13" s="69" t="s">
        <v>8</v>
      </c>
      <c r="DW13" s="25" t="s">
        <v>8</v>
      </c>
      <c r="DX13" s="30">
        <f t="shared" si="100"/>
        <v>0.6698868704974632</v>
      </c>
      <c r="DY13" s="28">
        <f t="shared" si="101"/>
        <v>1.8411216958620691E-2</v>
      </c>
      <c r="DZ13" s="29">
        <f t="shared" si="102"/>
        <v>162994.25382761317</v>
      </c>
      <c r="EA13" s="73">
        <f t="shared" si="103"/>
        <v>0</v>
      </c>
      <c r="EB13" s="69" t="s">
        <v>8</v>
      </c>
      <c r="EC13" s="25" t="s">
        <v>8</v>
      </c>
      <c r="ED13" s="30">
        <f t="shared" si="104"/>
        <v>0.6698868704974632</v>
      </c>
      <c r="EE13" s="28">
        <f t="shared" si="105"/>
        <v>1.8411216958620691E-2</v>
      </c>
      <c r="EF13" s="29">
        <f t="shared" si="106"/>
        <v>162994.25382761317</v>
      </c>
      <c r="EG13" s="73">
        <f t="shared" si="107"/>
        <v>0</v>
      </c>
      <c r="EH13" s="69" t="s">
        <v>8</v>
      </c>
      <c r="EI13" s="25" t="s">
        <v>8</v>
      </c>
      <c r="EJ13" s="30">
        <f t="shared" si="108"/>
        <v>0.6698868704974632</v>
      </c>
      <c r="EK13" s="28">
        <f t="shared" si="109"/>
        <v>1.8411216958620691E-2</v>
      </c>
      <c r="EL13" s="29">
        <f t="shared" si="110"/>
        <v>162994.25382761317</v>
      </c>
      <c r="EM13" s="73">
        <f t="shared" si="111"/>
        <v>0</v>
      </c>
      <c r="EN13" s="69" t="s">
        <v>8</v>
      </c>
      <c r="EO13" s="25" t="s">
        <v>8</v>
      </c>
      <c r="EP13" s="30">
        <f t="shared" si="112"/>
        <v>0.6698868704974632</v>
      </c>
      <c r="EQ13" s="28">
        <f t="shared" si="113"/>
        <v>1.8411216958620691E-2</v>
      </c>
      <c r="ER13" s="29">
        <f t="shared" si="114"/>
        <v>162994.25382761317</v>
      </c>
      <c r="ES13" s="73">
        <f t="shared" si="115"/>
        <v>0</v>
      </c>
      <c r="ET13" s="69" t="s">
        <v>8</v>
      </c>
      <c r="EU13" s="25" t="s">
        <v>8</v>
      </c>
      <c r="EV13" s="30">
        <f t="shared" si="116"/>
        <v>0.6698868704974632</v>
      </c>
      <c r="EW13" s="28">
        <f t="shared" si="117"/>
        <v>1.8411216958620691E-2</v>
      </c>
      <c r="EX13" s="29">
        <f t="shared" si="118"/>
        <v>162994.25382761317</v>
      </c>
      <c r="EY13" s="73">
        <f t="shared" si="119"/>
        <v>0</v>
      </c>
      <c r="EZ13" s="69" t="s">
        <v>8</v>
      </c>
      <c r="FA13" s="25" t="s">
        <v>8</v>
      </c>
      <c r="FB13" s="30">
        <f t="shared" si="120"/>
        <v>0.6698868704974632</v>
      </c>
      <c r="FC13" s="28">
        <f t="shared" si="121"/>
        <v>1.8411216958620691E-2</v>
      </c>
      <c r="FD13" s="29">
        <f t="shared" si="122"/>
        <v>162994.25382761317</v>
      </c>
      <c r="FE13" s="73">
        <f t="shared" si="123"/>
        <v>0</v>
      </c>
      <c r="FF13" s="69" t="s">
        <v>8</v>
      </c>
      <c r="FG13" s="25" t="s">
        <v>8</v>
      </c>
      <c r="FH13" s="30">
        <f t="shared" si="124"/>
        <v>0.6698868704974632</v>
      </c>
      <c r="FI13" s="28">
        <f t="shared" si="125"/>
        <v>1.8411216958620691E-2</v>
      </c>
      <c r="FJ13" s="29">
        <f t="shared" si="126"/>
        <v>162994.25382761317</v>
      </c>
      <c r="FK13" s="73">
        <f t="shared" si="127"/>
        <v>0</v>
      </c>
      <c r="FL13" s="69" t="s">
        <v>8</v>
      </c>
      <c r="FM13" s="25" t="s">
        <v>8</v>
      </c>
      <c r="FN13" s="30">
        <f t="shared" si="128"/>
        <v>0.6698868704974632</v>
      </c>
      <c r="FO13" s="28">
        <f t="shared" si="129"/>
        <v>1.8411216958620691E-2</v>
      </c>
      <c r="FP13" s="29">
        <f t="shared" si="130"/>
        <v>162994.25382761317</v>
      </c>
      <c r="FQ13" s="73">
        <f t="shared" si="131"/>
        <v>0</v>
      </c>
      <c r="FR13" s="69" t="s">
        <v>8</v>
      </c>
      <c r="FS13" s="25" t="s">
        <v>8</v>
      </c>
      <c r="FT13" s="30">
        <f t="shared" si="132"/>
        <v>0.6698868704974632</v>
      </c>
      <c r="FU13" s="28">
        <f t="shared" si="133"/>
        <v>1.8411216958620691E-2</v>
      </c>
      <c r="FV13" s="29">
        <f t="shared" si="134"/>
        <v>162994.25382761317</v>
      </c>
      <c r="FW13" s="73">
        <f t="shared" si="135"/>
        <v>0</v>
      </c>
      <c r="FX13" s="69" t="s">
        <v>8</v>
      </c>
      <c r="FY13" s="25" t="s">
        <v>8</v>
      </c>
      <c r="FZ13" s="30">
        <f t="shared" si="136"/>
        <v>0.6698868704974632</v>
      </c>
      <c r="GA13" s="28">
        <f t="shared" si="137"/>
        <v>1.8411216958620691E-2</v>
      </c>
      <c r="GB13" s="29">
        <f t="shared" si="138"/>
        <v>162994.25382761317</v>
      </c>
      <c r="GC13" s="73">
        <f t="shared" si="139"/>
        <v>0</v>
      </c>
      <c r="GD13" s="69" t="s">
        <v>8</v>
      </c>
      <c r="GE13" s="25" t="s">
        <v>8</v>
      </c>
      <c r="GF13" s="30">
        <f t="shared" si="140"/>
        <v>0.6698868704974632</v>
      </c>
      <c r="GG13" s="28">
        <f t="shared" si="141"/>
        <v>1.8411216958620691E-2</v>
      </c>
      <c r="GH13" s="29">
        <f t="shared" si="142"/>
        <v>162994.25382761317</v>
      </c>
      <c r="GI13" s="113">
        <f t="shared" si="143"/>
        <v>0</v>
      </c>
      <c r="GJ13" s="142">
        <f t="shared" si="146"/>
        <v>1467102.3971228378</v>
      </c>
      <c r="GK13" s="238">
        <f t="shared" si="144"/>
        <v>1525505.6302713153</v>
      </c>
      <c r="GL13" s="196">
        <f t="shared" si="145"/>
        <v>0.66988687049746343</v>
      </c>
      <c r="GM13" s="86">
        <v>1525505.63</v>
      </c>
    </row>
    <row r="14" spans="1:195" s="20" customFormat="1" ht="31.5" x14ac:dyDescent="0.25">
      <c r="A14" s="160" t="s">
        <v>177</v>
      </c>
      <c r="B14" s="130" t="s">
        <v>8</v>
      </c>
      <c r="C14" s="130" t="s">
        <v>8</v>
      </c>
      <c r="D14" s="130" t="s">
        <v>8</v>
      </c>
      <c r="E14" s="130" t="s">
        <v>8</v>
      </c>
      <c r="F14" s="130" t="s">
        <v>8</v>
      </c>
      <c r="G14" s="95">
        <f>'Исходные данные'!C16</f>
        <v>449</v>
      </c>
      <c r="H14" s="42">
        <f>'Исходные данные'!E16</f>
        <v>309071</v>
      </c>
      <c r="I14" s="27">
        <f>'Расчет КРП'!G12</f>
        <v>4.413597068878552</v>
      </c>
      <c r="J14" s="102" t="s">
        <v>8</v>
      </c>
      <c r="K14" s="106">
        <f t="shared" si="22"/>
        <v>8.7504127064570961E-2</v>
      </c>
      <c r="L14" s="70">
        <f t="shared" si="23"/>
        <v>39974.164151930519</v>
      </c>
      <c r="M14" s="66">
        <f t="shared" si="24"/>
        <v>9.8821605376190447E-2</v>
      </c>
      <c r="N14" s="25" t="s">
        <v>8</v>
      </c>
      <c r="O14" s="28">
        <f t="shared" si="25"/>
        <v>0.17213550864119342</v>
      </c>
      <c r="P14" s="29">
        <f t="shared" si="26"/>
        <v>638365.09467537072</v>
      </c>
      <c r="Q14" s="73">
        <f t="shared" si="27"/>
        <v>638365.09467537072</v>
      </c>
      <c r="R14" s="135" t="s">
        <v>8</v>
      </c>
      <c r="S14" s="25" t="s">
        <v>8</v>
      </c>
      <c r="T14" s="30">
        <f t="shared" si="28"/>
        <v>0.27955541850670257</v>
      </c>
      <c r="U14" s="28">
        <f t="shared" si="29"/>
        <v>6.6065922523333764E-2</v>
      </c>
      <c r="V14" s="46">
        <f t="shared" si="30"/>
        <v>280433.6966090803</v>
      </c>
      <c r="W14" s="73">
        <f t="shared" si="31"/>
        <v>280433.6966090803</v>
      </c>
      <c r="X14" s="69" t="s">
        <v>8</v>
      </c>
      <c r="Y14" s="25" t="s">
        <v>8</v>
      </c>
      <c r="Z14" s="30">
        <f t="shared" si="32"/>
        <v>0.3589517572808622</v>
      </c>
      <c r="AA14" s="28">
        <f t="shared" si="33"/>
        <v>5.0715575271510382E-2</v>
      </c>
      <c r="AB14" s="46">
        <f t="shared" si="34"/>
        <v>238474.28904429232</v>
      </c>
      <c r="AC14" s="73">
        <f t="shared" si="35"/>
        <v>238474.28904429232</v>
      </c>
      <c r="AD14" s="69" t="s">
        <v>8</v>
      </c>
      <c r="AE14" s="25" t="s">
        <v>8</v>
      </c>
      <c r="AF14" s="30">
        <f t="shared" si="36"/>
        <v>0.4264685559781356</v>
      </c>
      <c r="AG14" s="28">
        <f t="shared" si="37"/>
        <v>3.9936103924553046E-2</v>
      </c>
      <c r="AH14" s="46">
        <f t="shared" si="38"/>
        <v>204135.63835784991</v>
      </c>
      <c r="AI14" s="73">
        <f t="shared" si="39"/>
        <v>204135.63835784991</v>
      </c>
      <c r="AJ14" s="69" t="s">
        <v>8</v>
      </c>
      <c r="AK14" s="25" t="s">
        <v>8</v>
      </c>
      <c r="AL14" s="30">
        <f t="shared" si="40"/>
        <v>0.4842634019432136</v>
      </c>
      <c r="AM14" s="28">
        <f t="shared" si="41"/>
        <v>3.3773127591953611E-2</v>
      </c>
      <c r="AN14" s="46">
        <f t="shared" si="42"/>
        <v>185243.99151478495</v>
      </c>
      <c r="AO14" s="73">
        <f t="shared" si="43"/>
        <v>185243.99151478495</v>
      </c>
      <c r="AP14" s="69" t="s">
        <v>8</v>
      </c>
      <c r="AQ14" s="25" t="s">
        <v>8</v>
      </c>
      <c r="AR14" s="30">
        <f t="shared" si="44"/>
        <v>0.53670964818261513</v>
      </c>
      <c r="AS14" s="28">
        <f t="shared" si="45"/>
        <v>2.7821642730747498E-2</v>
      </c>
      <c r="AT14" s="46">
        <f t="shared" si="46"/>
        <v>161958.40095518556</v>
      </c>
      <c r="AU14" s="73">
        <f t="shared" si="47"/>
        <v>161958.40095518556</v>
      </c>
      <c r="AV14" s="69" t="s">
        <v>8</v>
      </c>
      <c r="AW14" s="25" t="s">
        <v>8</v>
      </c>
      <c r="AX14" s="30">
        <f t="shared" si="48"/>
        <v>0.58256328212548669</v>
      </c>
      <c r="AY14" s="28">
        <f t="shared" si="49"/>
        <v>2.279963113545147E-2</v>
      </c>
      <c r="AZ14" s="46">
        <f t="shared" si="50"/>
        <v>139457.16161357376</v>
      </c>
      <c r="BA14" s="73">
        <f t="shared" si="51"/>
        <v>139457.16161357376</v>
      </c>
      <c r="BB14" s="69" t="s">
        <v>8</v>
      </c>
      <c r="BC14" s="25" t="s">
        <v>8</v>
      </c>
      <c r="BD14" s="30">
        <f t="shared" si="52"/>
        <v>0.62204636915046985</v>
      </c>
      <c r="BE14" s="28">
        <f t="shared" si="53"/>
        <v>2.1283752991162141E-2</v>
      </c>
      <c r="BF14" s="46">
        <f t="shared" si="54"/>
        <v>140194.38610363627</v>
      </c>
      <c r="BG14" s="73">
        <f t="shared" si="55"/>
        <v>140194.38610363627</v>
      </c>
      <c r="BH14" s="69" t="s">
        <v>8</v>
      </c>
      <c r="BI14" s="25" t="s">
        <v>8</v>
      </c>
      <c r="BJ14" s="30">
        <f t="shared" si="56"/>
        <v>0.66173817904318732</v>
      </c>
      <c r="BK14" s="28">
        <f t="shared" si="57"/>
        <v>1.8544680898784915E-2</v>
      </c>
      <c r="BL14" s="46">
        <f t="shared" si="58"/>
        <v>129136.21434984107</v>
      </c>
      <c r="BM14" s="73">
        <f t="shared" si="59"/>
        <v>29557.760475567644</v>
      </c>
      <c r="BN14" s="69" t="s">
        <v>8</v>
      </c>
      <c r="BO14" s="25" t="s">
        <v>8</v>
      </c>
      <c r="BP14" s="30">
        <f t="shared" si="60"/>
        <v>0.67010656698122817</v>
      </c>
      <c r="BQ14" s="28">
        <f t="shared" si="61"/>
        <v>1.8191520474855727E-2</v>
      </c>
      <c r="BR14" s="46">
        <f t="shared" si="62"/>
        <v>128444.33158975987</v>
      </c>
      <c r="BS14" s="113">
        <f t="shared" si="63"/>
        <v>0</v>
      </c>
      <c r="BT14" s="69" t="s">
        <v>8</v>
      </c>
      <c r="BU14" s="25" t="s">
        <v>8</v>
      </c>
      <c r="BV14" s="30">
        <f t="shared" si="64"/>
        <v>0.67010656698122817</v>
      </c>
      <c r="BW14" s="28">
        <f t="shared" si="65"/>
        <v>1.8191520474855727E-2</v>
      </c>
      <c r="BX14" s="46">
        <f t="shared" si="66"/>
        <v>128444.33158975987</v>
      </c>
      <c r="BY14" s="113">
        <f t="shared" si="67"/>
        <v>0</v>
      </c>
      <c r="BZ14" s="69" t="s">
        <v>8</v>
      </c>
      <c r="CA14" s="25" t="s">
        <v>8</v>
      </c>
      <c r="CB14" s="30">
        <f t="shared" si="68"/>
        <v>0.67010656698122817</v>
      </c>
      <c r="CC14" s="28">
        <f t="shared" si="69"/>
        <v>1.8191520474855727E-2</v>
      </c>
      <c r="CD14" s="46">
        <f t="shared" si="70"/>
        <v>128444.33158975987</v>
      </c>
      <c r="CE14" s="113">
        <f t="shared" si="71"/>
        <v>0</v>
      </c>
      <c r="CF14" s="69" t="s">
        <v>8</v>
      </c>
      <c r="CG14" s="25" t="s">
        <v>8</v>
      </c>
      <c r="CH14" s="30">
        <f t="shared" si="72"/>
        <v>0.67010656698122817</v>
      </c>
      <c r="CI14" s="28">
        <f t="shared" si="73"/>
        <v>1.8191520474855727E-2</v>
      </c>
      <c r="CJ14" s="46">
        <f t="shared" si="74"/>
        <v>128444.33158975987</v>
      </c>
      <c r="CK14" s="113">
        <f t="shared" si="75"/>
        <v>0</v>
      </c>
      <c r="CL14" s="69" t="s">
        <v>8</v>
      </c>
      <c r="CM14" s="25" t="s">
        <v>8</v>
      </c>
      <c r="CN14" s="30">
        <f t="shared" si="76"/>
        <v>0.67010656698122817</v>
      </c>
      <c r="CO14" s="28">
        <f t="shared" si="77"/>
        <v>1.8191520474855727E-2</v>
      </c>
      <c r="CP14" s="46">
        <f t="shared" si="78"/>
        <v>128444.33158975987</v>
      </c>
      <c r="CQ14" s="113">
        <f t="shared" si="79"/>
        <v>0</v>
      </c>
      <c r="CR14" s="69" t="s">
        <v>8</v>
      </c>
      <c r="CS14" s="25" t="s">
        <v>8</v>
      </c>
      <c r="CT14" s="30">
        <f t="shared" si="80"/>
        <v>0.67010656698122817</v>
      </c>
      <c r="CU14" s="28">
        <f t="shared" si="81"/>
        <v>1.8191520474855727E-2</v>
      </c>
      <c r="CV14" s="46">
        <f t="shared" si="82"/>
        <v>128444.33158975987</v>
      </c>
      <c r="CW14" s="113">
        <f t="shared" si="83"/>
        <v>0</v>
      </c>
      <c r="CX14" s="69" t="s">
        <v>8</v>
      </c>
      <c r="CY14" s="25" t="s">
        <v>8</v>
      </c>
      <c r="CZ14" s="30">
        <f t="shared" si="84"/>
        <v>0.67010656698122817</v>
      </c>
      <c r="DA14" s="28">
        <f t="shared" si="85"/>
        <v>1.8191520474855727E-2</v>
      </c>
      <c r="DB14" s="46">
        <f t="shared" si="86"/>
        <v>128444.33158975987</v>
      </c>
      <c r="DC14" s="113">
        <f t="shared" si="87"/>
        <v>0</v>
      </c>
      <c r="DD14" s="69" t="s">
        <v>8</v>
      </c>
      <c r="DE14" s="25" t="s">
        <v>8</v>
      </c>
      <c r="DF14" s="30">
        <f t="shared" si="88"/>
        <v>0.67010656698122817</v>
      </c>
      <c r="DG14" s="28">
        <f t="shared" si="89"/>
        <v>1.8191520474855727E-2</v>
      </c>
      <c r="DH14" s="46">
        <f t="shared" si="90"/>
        <v>128444.33158975987</v>
      </c>
      <c r="DI14" s="113">
        <f t="shared" si="91"/>
        <v>0</v>
      </c>
      <c r="DJ14" s="69" t="s">
        <v>8</v>
      </c>
      <c r="DK14" s="25" t="s">
        <v>8</v>
      </c>
      <c r="DL14" s="30">
        <f t="shared" si="92"/>
        <v>0.67010656698122817</v>
      </c>
      <c r="DM14" s="28">
        <f t="shared" si="93"/>
        <v>1.8191520474855727E-2</v>
      </c>
      <c r="DN14" s="46">
        <f t="shared" si="94"/>
        <v>128444.33158975987</v>
      </c>
      <c r="DO14" s="113">
        <f t="shared" si="95"/>
        <v>0</v>
      </c>
      <c r="DP14" s="69" t="s">
        <v>8</v>
      </c>
      <c r="DQ14" s="25" t="s">
        <v>8</v>
      </c>
      <c r="DR14" s="30">
        <f t="shared" si="96"/>
        <v>0.67010656698122817</v>
      </c>
      <c r="DS14" s="28">
        <f t="shared" si="97"/>
        <v>1.8191520474855727E-2</v>
      </c>
      <c r="DT14" s="46">
        <f t="shared" si="98"/>
        <v>128444.33158975987</v>
      </c>
      <c r="DU14" s="113">
        <f t="shared" si="99"/>
        <v>0</v>
      </c>
      <c r="DV14" s="69" t="s">
        <v>8</v>
      </c>
      <c r="DW14" s="25" t="s">
        <v>8</v>
      </c>
      <c r="DX14" s="30">
        <f t="shared" si="100"/>
        <v>0.67010656698122817</v>
      </c>
      <c r="DY14" s="28">
        <f t="shared" si="101"/>
        <v>1.8191520474855727E-2</v>
      </c>
      <c r="DZ14" s="29">
        <f t="shared" si="102"/>
        <v>128444.33158975987</v>
      </c>
      <c r="EA14" s="73">
        <f t="shared" si="103"/>
        <v>0</v>
      </c>
      <c r="EB14" s="69" t="s">
        <v>8</v>
      </c>
      <c r="EC14" s="25" t="s">
        <v>8</v>
      </c>
      <c r="ED14" s="30">
        <f t="shared" si="104"/>
        <v>0.67010656698122817</v>
      </c>
      <c r="EE14" s="28">
        <f t="shared" si="105"/>
        <v>1.8191520474855727E-2</v>
      </c>
      <c r="EF14" s="29">
        <f t="shared" si="106"/>
        <v>128444.33158975987</v>
      </c>
      <c r="EG14" s="73">
        <f t="shared" si="107"/>
        <v>0</v>
      </c>
      <c r="EH14" s="69" t="s">
        <v>8</v>
      </c>
      <c r="EI14" s="25" t="s">
        <v>8</v>
      </c>
      <c r="EJ14" s="30">
        <f t="shared" si="108"/>
        <v>0.67010656698122817</v>
      </c>
      <c r="EK14" s="28">
        <f t="shared" si="109"/>
        <v>1.8191520474855727E-2</v>
      </c>
      <c r="EL14" s="29">
        <f t="shared" si="110"/>
        <v>128444.33158975987</v>
      </c>
      <c r="EM14" s="73">
        <f t="shared" si="111"/>
        <v>0</v>
      </c>
      <c r="EN14" s="69" t="s">
        <v>8</v>
      </c>
      <c r="EO14" s="25" t="s">
        <v>8</v>
      </c>
      <c r="EP14" s="30">
        <f t="shared" si="112"/>
        <v>0.67010656698122817</v>
      </c>
      <c r="EQ14" s="28">
        <f t="shared" si="113"/>
        <v>1.8191520474855727E-2</v>
      </c>
      <c r="ER14" s="29">
        <f t="shared" si="114"/>
        <v>128444.33158975987</v>
      </c>
      <c r="ES14" s="73">
        <f t="shared" si="115"/>
        <v>0</v>
      </c>
      <c r="ET14" s="69" t="s">
        <v>8</v>
      </c>
      <c r="EU14" s="25" t="s">
        <v>8</v>
      </c>
      <c r="EV14" s="30">
        <f t="shared" si="116"/>
        <v>0.67010656698122817</v>
      </c>
      <c r="EW14" s="28">
        <f t="shared" si="117"/>
        <v>1.8191520474855727E-2</v>
      </c>
      <c r="EX14" s="29">
        <f t="shared" si="118"/>
        <v>128444.33158975987</v>
      </c>
      <c r="EY14" s="73">
        <f t="shared" si="119"/>
        <v>0</v>
      </c>
      <c r="EZ14" s="69" t="s">
        <v>8</v>
      </c>
      <c r="FA14" s="25" t="s">
        <v>8</v>
      </c>
      <c r="FB14" s="30">
        <f t="shared" si="120"/>
        <v>0.67010656698122817</v>
      </c>
      <c r="FC14" s="28">
        <f t="shared" si="121"/>
        <v>1.8191520474855727E-2</v>
      </c>
      <c r="FD14" s="29">
        <f t="shared" si="122"/>
        <v>128444.33158975987</v>
      </c>
      <c r="FE14" s="73">
        <f t="shared" si="123"/>
        <v>0</v>
      </c>
      <c r="FF14" s="69" t="s">
        <v>8</v>
      </c>
      <c r="FG14" s="25" t="s">
        <v>8</v>
      </c>
      <c r="FH14" s="30">
        <f t="shared" si="124"/>
        <v>0.67010656698122817</v>
      </c>
      <c r="FI14" s="28">
        <f t="shared" si="125"/>
        <v>1.8191520474855727E-2</v>
      </c>
      <c r="FJ14" s="29">
        <f t="shared" si="126"/>
        <v>128444.33158975987</v>
      </c>
      <c r="FK14" s="73">
        <f t="shared" si="127"/>
        <v>0</v>
      </c>
      <c r="FL14" s="69" t="s">
        <v>8</v>
      </c>
      <c r="FM14" s="25" t="s">
        <v>8</v>
      </c>
      <c r="FN14" s="30">
        <f t="shared" si="128"/>
        <v>0.67010656698122817</v>
      </c>
      <c r="FO14" s="28">
        <f t="shared" si="129"/>
        <v>1.8191520474855727E-2</v>
      </c>
      <c r="FP14" s="29">
        <f t="shared" si="130"/>
        <v>128444.33158975987</v>
      </c>
      <c r="FQ14" s="73">
        <f t="shared" si="131"/>
        <v>0</v>
      </c>
      <c r="FR14" s="69" t="s">
        <v>8</v>
      </c>
      <c r="FS14" s="25" t="s">
        <v>8</v>
      </c>
      <c r="FT14" s="30">
        <f t="shared" si="132"/>
        <v>0.67010656698122817</v>
      </c>
      <c r="FU14" s="28">
        <f t="shared" si="133"/>
        <v>1.8191520474855727E-2</v>
      </c>
      <c r="FV14" s="29">
        <f t="shared" si="134"/>
        <v>128444.33158975987</v>
      </c>
      <c r="FW14" s="73">
        <f t="shared" si="135"/>
        <v>0</v>
      </c>
      <c r="FX14" s="69" t="s">
        <v>8</v>
      </c>
      <c r="FY14" s="25" t="s">
        <v>8</v>
      </c>
      <c r="FZ14" s="30">
        <f t="shared" si="136"/>
        <v>0.67010656698122817</v>
      </c>
      <c r="GA14" s="28">
        <f t="shared" si="137"/>
        <v>1.8191520474855727E-2</v>
      </c>
      <c r="GB14" s="29">
        <f t="shared" si="138"/>
        <v>128444.33158975987</v>
      </c>
      <c r="GC14" s="73">
        <f t="shared" si="139"/>
        <v>0</v>
      </c>
      <c r="GD14" s="69" t="s">
        <v>8</v>
      </c>
      <c r="GE14" s="25" t="s">
        <v>8</v>
      </c>
      <c r="GF14" s="30">
        <f t="shared" si="140"/>
        <v>0.67010656698122817</v>
      </c>
      <c r="GG14" s="28">
        <f t="shared" si="141"/>
        <v>1.8191520474855727E-2</v>
      </c>
      <c r="GH14" s="29">
        <f t="shared" si="142"/>
        <v>128444.33158975987</v>
      </c>
      <c r="GI14" s="113">
        <f t="shared" si="143"/>
        <v>0</v>
      </c>
      <c r="GJ14" s="142">
        <f t="shared" si="146"/>
        <v>2017820.4193493414</v>
      </c>
      <c r="GK14" s="238">
        <f t="shared" si="144"/>
        <v>2057794.5835012719</v>
      </c>
      <c r="GL14" s="196">
        <f t="shared" si="145"/>
        <v>0.67010656698122828</v>
      </c>
      <c r="GM14" s="86">
        <v>2057794.58</v>
      </c>
    </row>
    <row r="15" spans="1:195" s="20" customFormat="1" ht="31.5" x14ac:dyDescent="0.25">
      <c r="A15" s="159" t="s">
        <v>178</v>
      </c>
      <c r="B15" s="130" t="s">
        <v>8</v>
      </c>
      <c r="C15" s="130" t="s">
        <v>8</v>
      </c>
      <c r="D15" s="130" t="s">
        <v>8</v>
      </c>
      <c r="E15" s="130" t="s">
        <v>8</v>
      </c>
      <c r="F15" s="130" t="s">
        <v>8</v>
      </c>
      <c r="G15" s="95">
        <f>'Исходные данные'!C17</f>
        <v>711</v>
      </c>
      <c r="H15" s="42">
        <f>'Исходные данные'!E17</f>
        <v>464314</v>
      </c>
      <c r="I15" s="27">
        <f>'Расчет КРП'!G13</f>
        <v>3.3549950196919598</v>
      </c>
      <c r="J15" s="102" t="s">
        <v>8</v>
      </c>
      <c r="K15" s="106">
        <f t="shared" si="22"/>
        <v>0.10920929437915783</v>
      </c>
      <c r="L15" s="70">
        <f t="shared" si="23"/>
        <v>63299.84568379198</v>
      </c>
      <c r="M15" s="66">
        <f t="shared" si="24"/>
        <v>0.12409777821000613</v>
      </c>
      <c r="N15" s="25" t="s">
        <v>8</v>
      </c>
      <c r="O15" s="28">
        <f t="shared" si="25"/>
        <v>0.14685933580737776</v>
      </c>
      <c r="P15" s="29">
        <f t="shared" si="26"/>
        <v>655575.44988397858</v>
      </c>
      <c r="Q15" s="73">
        <f t="shared" si="27"/>
        <v>655575.44988397858</v>
      </c>
      <c r="R15" s="135" t="s">
        <v>8</v>
      </c>
      <c r="S15" s="25" t="s">
        <v>8</v>
      </c>
      <c r="T15" s="30">
        <f t="shared" si="28"/>
        <v>0.27829285372814305</v>
      </c>
      <c r="U15" s="28">
        <f t="shared" si="29"/>
        <v>6.7328487301893281E-2</v>
      </c>
      <c r="V15" s="46">
        <f t="shared" si="30"/>
        <v>344012.32878011442</v>
      </c>
      <c r="W15" s="73">
        <f t="shared" si="31"/>
        <v>344012.32878011442</v>
      </c>
      <c r="X15" s="69" t="s">
        <v>8</v>
      </c>
      <c r="Y15" s="25" t="s">
        <v>8</v>
      </c>
      <c r="Z15" s="30">
        <f t="shared" si="32"/>
        <v>0.35920651061509273</v>
      </c>
      <c r="AA15" s="28">
        <f t="shared" si="33"/>
        <v>5.0460821937279854E-2</v>
      </c>
      <c r="AB15" s="46">
        <f t="shared" si="34"/>
        <v>285612.35088489956</v>
      </c>
      <c r="AC15" s="73">
        <f t="shared" si="35"/>
        <v>285612.35088489956</v>
      </c>
      <c r="AD15" s="69" t="s">
        <v>8</v>
      </c>
      <c r="AE15" s="25" t="s">
        <v>8</v>
      </c>
      <c r="AF15" s="30">
        <f t="shared" si="36"/>
        <v>0.42638416045143679</v>
      </c>
      <c r="AG15" s="28">
        <f t="shared" si="37"/>
        <v>4.0020499451251856E-2</v>
      </c>
      <c r="AH15" s="46">
        <f t="shared" si="38"/>
        <v>246239.71436028511</v>
      </c>
      <c r="AI15" s="73">
        <f t="shared" si="39"/>
        <v>246239.71436028511</v>
      </c>
      <c r="AJ15" s="69" t="s">
        <v>8</v>
      </c>
      <c r="AK15" s="25" t="s">
        <v>8</v>
      </c>
      <c r="AL15" s="30">
        <f t="shared" si="40"/>
        <v>0.48430114217805315</v>
      </c>
      <c r="AM15" s="28">
        <f t="shared" si="41"/>
        <v>3.3735387357114066E-2</v>
      </c>
      <c r="AN15" s="46">
        <f t="shared" si="42"/>
        <v>222731.17480163451</v>
      </c>
      <c r="AO15" s="73">
        <f t="shared" si="43"/>
        <v>222731.17480163451</v>
      </c>
      <c r="AP15" s="69" t="s">
        <v>8</v>
      </c>
      <c r="AQ15" s="25" t="s">
        <v>8</v>
      </c>
      <c r="AR15" s="30">
        <f t="shared" si="44"/>
        <v>0.53668878165549161</v>
      </c>
      <c r="AS15" s="28">
        <f t="shared" si="45"/>
        <v>2.7842509257871018E-2</v>
      </c>
      <c r="AT15" s="46">
        <f t="shared" si="46"/>
        <v>195097.42646561665</v>
      </c>
      <c r="AU15" s="73">
        <f t="shared" si="47"/>
        <v>195097.42646561665</v>
      </c>
      <c r="AV15" s="69" t="s">
        <v>8</v>
      </c>
      <c r="AW15" s="25" t="s">
        <v>8</v>
      </c>
      <c r="AX15" s="30">
        <f t="shared" si="48"/>
        <v>0.58257680631014253</v>
      </c>
      <c r="AY15" s="28">
        <f t="shared" si="49"/>
        <v>2.2786106950795637E-2</v>
      </c>
      <c r="AZ15" s="46">
        <f t="shared" si="50"/>
        <v>167766.63334258358</v>
      </c>
      <c r="BA15" s="73">
        <f t="shared" si="51"/>
        <v>167766.63334258358</v>
      </c>
      <c r="BB15" s="69" t="s">
        <v>8</v>
      </c>
      <c r="BC15" s="25" t="s">
        <v>8</v>
      </c>
      <c r="BD15" s="30">
        <f t="shared" si="52"/>
        <v>0.62203647293167552</v>
      </c>
      <c r="BE15" s="28">
        <f t="shared" si="53"/>
        <v>2.1293649209956467E-2</v>
      </c>
      <c r="BF15" s="46">
        <f t="shared" si="54"/>
        <v>168832.07784383369</v>
      </c>
      <c r="BG15" s="73">
        <f t="shared" si="55"/>
        <v>168832.07784383369</v>
      </c>
      <c r="BH15" s="69" t="s">
        <v>8</v>
      </c>
      <c r="BI15" s="25" t="s">
        <v>8</v>
      </c>
      <c r="BJ15" s="30">
        <f t="shared" si="56"/>
        <v>0.66174673816143836</v>
      </c>
      <c r="BK15" s="28">
        <f t="shared" si="57"/>
        <v>1.8536121780533876E-2</v>
      </c>
      <c r="BL15" s="46">
        <f t="shared" si="58"/>
        <v>155371.02010845693</v>
      </c>
      <c r="BM15" s="73">
        <f t="shared" si="59"/>
        <v>35562.598921857163</v>
      </c>
      <c r="BN15" s="69" t="s">
        <v>8</v>
      </c>
      <c r="BO15" s="25" t="s">
        <v>8</v>
      </c>
      <c r="BP15" s="30">
        <f t="shared" si="60"/>
        <v>0.67011126375089947</v>
      </c>
      <c r="BQ15" s="28">
        <f t="shared" si="61"/>
        <v>1.8186823705184429E-2</v>
      </c>
      <c r="BR15" s="46">
        <f t="shared" si="62"/>
        <v>154570.01798996734</v>
      </c>
      <c r="BS15" s="113">
        <f t="shared" si="63"/>
        <v>0</v>
      </c>
      <c r="BT15" s="69" t="s">
        <v>8</v>
      </c>
      <c r="BU15" s="25" t="s">
        <v>8</v>
      </c>
      <c r="BV15" s="30">
        <f t="shared" si="64"/>
        <v>0.67011126375089947</v>
      </c>
      <c r="BW15" s="28">
        <f t="shared" si="65"/>
        <v>1.8186823705184429E-2</v>
      </c>
      <c r="BX15" s="46">
        <f t="shared" si="66"/>
        <v>154570.01798996734</v>
      </c>
      <c r="BY15" s="113">
        <f t="shared" si="67"/>
        <v>0</v>
      </c>
      <c r="BZ15" s="69" t="s">
        <v>8</v>
      </c>
      <c r="CA15" s="25" t="s">
        <v>8</v>
      </c>
      <c r="CB15" s="30">
        <f t="shared" si="68"/>
        <v>0.67011126375089947</v>
      </c>
      <c r="CC15" s="28">
        <f t="shared" si="69"/>
        <v>1.8186823705184429E-2</v>
      </c>
      <c r="CD15" s="46">
        <f t="shared" si="70"/>
        <v>154570.01798996734</v>
      </c>
      <c r="CE15" s="113">
        <f t="shared" si="71"/>
        <v>0</v>
      </c>
      <c r="CF15" s="69" t="s">
        <v>8</v>
      </c>
      <c r="CG15" s="25" t="s">
        <v>8</v>
      </c>
      <c r="CH15" s="30">
        <f t="shared" si="72"/>
        <v>0.67011126375089947</v>
      </c>
      <c r="CI15" s="28">
        <f t="shared" si="73"/>
        <v>1.8186823705184429E-2</v>
      </c>
      <c r="CJ15" s="46">
        <f t="shared" si="74"/>
        <v>154570.01798996734</v>
      </c>
      <c r="CK15" s="113">
        <f t="shared" si="75"/>
        <v>0</v>
      </c>
      <c r="CL15" s="69" t="s">
        <v>8</v>
      </c>
      <c r="CM15" s="25" t="s">
        <v>8</v>
      </c>
      <c r="CN15" s="30">
        <f t="shared" si="76"/>
        <v>0.67011126375089947</v>
      </c>
      <c r="CO15" s="28">
        <f t="shared" si="77"/>
        <v>1.8186823705184429E-2</v>
      </c>
      <c r="CP15" s="46">
        <f t="shared" si="78"/>
        <v>154570.01798996734</v>
      </c>
      <c r="CQ15" s="113">
        <f t="shared" si="79"/>
        <v>0</v>
      </c>
      <c r="CR15" s="69" t="s">
        <v>8</v>
      </c>
      <c r="CS15" s="25" t="s">
        <v>8</v>
      </c>
      <c r="CT15" s="30">
        <f t="shared" si="80"/>
        <v>0.67011126375089947</v>
      </c>
      <c r="CU15" s="28">
        <f t="shared" si="81"/>
        <v>1.8186823705184429E-2</v>
      </c>
      <c r="CV15" s="46">
        <f t="shared" si="82"/>
        <v>154570.01798996734</v>
      </c>
      <c r="CW15" s="113">
        <f t="shared" si="83"/>
        <v>0</v>
      </c>
      <c r="CX15" s="69" t="s">
        <v>8</v>
      </c>
      <c r="CY15" s="25" t="s">
        <v>8</v>
      </c>
      <c r="CZ15" s="30">
        <f t="shared" si="84"/>
        <v>0.67011126375089947</v>
      </c>
      <c r="DA15" s="28">
        <f t="shared" si="85"/>
        <v>1.8186823705184429E-2</v>
      </c>
      <c r="DB15" s="46">
        <f t="shared" si="86"/>
        <v>154570.01798996734</v>
      </c>
      <c r="DC15" s="113">
        <f t="shared" si="87"/>
        <v>0</v>
      </c>
      <c r="DD15" s="69" t="s">
        <v>8</v>
      </c>
      <c r="DE15" s="25" t="s">
        <v>8</v>
      </c>
      <c r="DF15" s="30">
        <f t="shared" si="88"/>
        <v>0.67011126375089947</v>
      </c>
      <c r="DG15" s="28">
        <f t="shared" si="89"/>
        <v>1.8186823705184429E-2</v>
      </c>
      <c r="DH15" s="46">
        <f t="shared" si="90"/>
        <v>154570.01798996734</v>
      </c>
      <c r="DI15" s="113">
        <f t="shared" si="91"/>
        <v>0</v>
      </c>
      <c r="DJ15" s="69" t="s">
        <v>8</v>
      </c>
      <c r="DK15" s="25" t="s">
        <v>8</v>
      </c>
      <c r="DL15" s="30">
        <f t="shared" si="92"/>
        <v>0.67011126375089947</v>
      </c>
      <c r="DM15" s="28">
        <f t="shared" si="93"/>
        <v>1.8186823705184429E-2</v>
      </c>
      <c r="DN15" s="46">
        <f t="shared" si="94"/>
        <v>154570.01798996734</v>
      </c>
      <c r="DO15" s="113">
        <f t="shared" si="95"/>
        <v>0</v>
      </c>
      <c r="DP15" s="69" t="s">
        <v>8</v>
      </c>
      <c r="DQ15" s="25" t="s">
        <v>8</v>
      </c>
      <c r="DR15" s="30">
        <f t="shared" si="96"/>
        <v>0.67011126375089947</v>
      </c>
      <c r="DS15" s="28">
        <f t="shared" si="97"/>
        <v>1.8186823705184429E-2</v>
      </c>
      <c r="DT15" s="46">
        <f t="shared" si="98"/>
        <v>154570.01798996734</v>
      </c>
      <c r="DU15" s="113">
        <f t="shared" si="99"/>
        <v>0</v>
      </c>
      <c r="DV15" s="69" t="s">
        <v>8</v>
      </c>
      <c r="DW15" s="25" t="s">
        <v>8</v>
      </c>
      <c r="DX15" s="30">
        <f t="shared" si="100"/>
        <v>0.67011126375089947</v>
      </c>
      <c r="DY15" s="28">
        <f t="shared" si="101"/>
        <v>1.8186823705184429E-2</v>
      </c>
      <c r="DZ15" s="29">
        <f t="shared" si="102"/>
        <v>154570.01798996734</v>
      </c>
      <c r="EA15" s="73">
        <f t="shared" si="103"/>
        <v>0</v>
      </c>
      <c r="EB15" s="69" t="s">
        <v>8</v>
      </c>
      <c r="EC15" s="25" t="s">
        <v>8</v>
      </c>
      <c r="ED15" s="30">
        <f t="shared" si="104"/>
        <v>0.67011126375089947</v>
      </c>
      <c r="EE15" s="28">
        <f t="shared" si="105"/>
        <v>1.8186823705184429E-2</v>
      </c>
      <c r="EF15" s="29">
        <f t="shared" si="106"/>
        <v>154570.01798996734</v>
      </c>
      <c r="EG15" s="73">
        <f t="shared" si="107"/>
        <v>0</v>
      </c>
      <c r="EH15" s="69" t="s">
        <v>8</v>
      </c>
      <c r="EI15" s="25" t="s">
        <v>8</v>
      </c>
      <c r="EJ15" s="30">
        <f t="shared" si="108"/>
        <v>0.67011126375089947</v>
      </c>
      <c r="EK15" s="28">
        <f t="shared" si="109"/>
        <v>1.8186823705184429E-2</v>
      </c>
      <c r="EL15" s="29">
        <f t="shared" si="110"/>
        <v>154570.01798996734</v>
      </c>
      <c r="EM15" s="73">
        <f t="shared" si="111"/>
        <v>0</v>
      </c>
      <c r="EN15" s="69" t="s">
        <v>8</v>
      </c>
      <c r="EO15" s="25" t="s">
        <v>8</v>
      </c>
      <c r="EP15" s="30">
        <f t="shared" si="112"/>
        <v>0.67011126375089947</v>
      </c>
      <c r="EQ15" s="28">
        <f t="shared" si="113"/>
        <v>1.8186823705184429E-2</v>
      </c>
      <c r="ER15" s="29">
        <f t="shared" si="114"/>
        <v>154570.01798996734</v>
      </c>
      <c r="ES15" s="73">
        <f t="shared" si="115"/>
        <v>0</v>
      </c>
      <c r="ET15" s="69" t="s">
        <v>8</v>
      </c>
      <c r="EU15" s="25" t="s">
        <v>8</v>
      </c>
      <c r="EV15" s="30">
        <f t="shared" si="116"/>
        <v>0.67011126375089947</v>
      </c>
      <c r="EW15" s="28">
        <f t="shared" si="117"/>
        <v>1.8186823705184429E-2</v>
      </c>
      <c r="EX15" s="29">
        <f t="shared" si="118"/>
        <v>154570.01798996734</v>
      </c>
      <c r="EY15" s="73">
        <f t="shared" si="119"/>
        <v>0</v>
      </c>
      <c r="EZ15" s="69" t="s">
        <v>8</v>
      </c>
      <c r="FA15" s="25" t="s">
        <v>8</v>
      </c>
      <c r="FB15" s="30">
        <f t="shared" si="120"/>
        <v>0.67011126375089947</v>
      </c>
      <c r="FC15" s="28">
        <f t="shared" si="121"/>
        <v>1.8186823705184429E-2</v>
      </c>
      <c r="FD15" s="29">
        <f t="shared" si="122"/>
        <v>154570.01798996734</v>
      </c>
      <c r="FE15" s="73">
        <f t="shared" si="123"/>
        <v>0</v>
      </c>
      <c r="FF15" s="69" t="s">
        <v>8</v>
      </c>
      <c r="FG15" s="25" t="s">
        <v>8</v>
      </c>
      <c r="FH15" s="30">
        <f t="shared" si="124"/>
        <v>0.67011126375089947</v>
      </c>
      <c r="FI15" s="28">
        <f t="shared" si="125"/>
        <v>1.8186823705184429E-2</v>
      </c>
      <c r="FJ15" s="29">
        <f t="shared" si="126"/>
        <v>154570.01798996734</v>
      </c>
      <c r="FK15" s="73">
        <f t="shared" si="127"/>
        <v>0</v>
      </c>
      <c r="FL15" s="69" t="s">
        <v>8</v>
      </c>
      <c r="FM15" s="25" t="s">
        <v>8</v>
      </c>
      <c r="FN15" s="30">
        <f t="shared" si="128"/>
        <v>0.67011126375089947</v>
      </c>
      <c r="FO15" s="28">
        <f t="shared" si="129"/>
        <v>1.8186823705184429E-2</v>
      </c>
      <c r="FP15" s="29">
        <f t="shared" si="130"/>
        <v>154570.01798996734</v>
      </c>
      <c r="FQ15" s="73">
        <f t="shared" si="131"/>
        <v>0</v>
      </c>
      <c r="FR15" s="69" t="s">
        <v>8</v>
      </c>
      <c r="FS15" s="25" t="s">
        <v>8</v>
      </c>
      <c r="FT15" s="30">
        <f t="shared" si="132"/>
        <v>0.67011126375089947</v>
      </c>
      <c r="FU15" s="28">
        <f t="shared" si="133"/>
        <v>1.8186823705184429E-2</v>
      </c>
      <c r="FV15" s="29">
        <f t="shared" si="134"/>
        <v>154570.01798996734</v>
      </c>
      <c r="FW15" s="73">
        <f t="shared" si="135"/>
        <v>0</v>
      </c>
      <c r="FX15" s="69" t="s">
        <v>8</v>
      </c>
      <c r="FY15" s="25" t="s">
        <v>8</v>
      </c>
      <c r="FZ15" s="30">
        <f t="shared" si="136"/>
        <v>0.67011126375089947</v>
      </c>
      <c r="GA15" s="28">
        <f t="shared" si="137"/>
        <v>1.8186823705184429E-2</v>
      </c>
      <c r="GB15" s="29">
        <f t="shared" si="138"/>
        <v>154570.01798996734</v>
      </c>
      <c r="GC15" s="73">
        <f t="shared" si="139"/>
        <v>0</v>
      </c>
      <c r="GD15" s="69" t="s">
        <v>8</v>
      </c>
      <c r="GE15" s="25" t="s">
        <v>8</v>
      </c>
      <c r="GF15" s="30">
        <f t="shared" si="140"/>
        <v>0.67011126375089947</v>
      </c>
      <c r="GG15" s="28">
        <f t="shared" si="141"/>
        <v>1.8186823705184429E-2</v>
      </c>
      <c r="GH15" s="29">
        <f t="shared" si="142"/>
        <v>154570.01798996734</v>
      </c>
      <c r="GI15" s="113">
        <f t="shared" si="143"/>
        <v>0</v>
      </c>
      <c r="GJ15" s="142">
        <f t="shared" si="146"/>
        <v>2321429.7552848035</v>
      </c>
      <c r="GK15" s="238">
        <f t="shared" si="144"/>
        <v>2384729.6009685956</v>
      </c>
      <c r="GL15" s="196">
        <f t="shared" si="145"/>
        <v>0.67011126375089958</v>
      </c>
      <c r="GM15" s="86">
        <v>2384729.6</v>
      </c>
    </row>
    <row r="16" spans="1:195" s="20" customFormat="1" x14ac:dyDescent="0.25">
      <c r="A16" s="159" t="s">
        <v>179</v>
      </c>
      <c r="B16" s="130" t="s">
        <v>8</v>
      </c>
      <c r="C16" s="130" t="s">
        <v>8</v>
      </c>
      <c r="D16" s="130" t="s">
        <v>8</v>
      </c>
      <c r="E16" s="130" t="s">
        <v>8</v>
      </c>
      <c r="F16" s="130" t="s">
        <v>8</v>
      </c>
      <c r="G16" s="95">
        <f>'Исходные данные'!C18</f>
        <v>556</v>
      </c>
      <c r="H16" s="42">
        <f>'Исходные данные'!E18</f>
        <v>458256</v>
      </c>
      <c r="I16" s="27">
        <f>'Расчет КРП'!G14</f>
        <v>3.8058253045502948</v>
      </c>
      <c r="J16" s="102" t="s">
        <v>8</v>
      </c>
      <c r="K16" s="106">
        <f t="shared" si="22"/>
        <v>0.12150490826524375</v>
      </c>
      <c r="L16" s="70">
        <f t="shared" si="23"/>
        <v>49500.301266087685</v>
      </c>
      <c r="M16" s="66">
        <f t="shared" si="24"/>
        <v>0.13462973273985598</v>
      </c>
      <c r="N16" s="25" t="s">
        <v>8</v>
      </c>
      <c r="O16" s="28">
        <f t="shared" si="25"/>
        <v>0.13632738127752789</v>
      </c>
      <c r="P16" s="29">
        <f t="shared" si="26"/>
        <v>539841.63313601504</v>
      </c>
      <c r="Q16" s="73">
        <f t="shared" si="27"/>
        <v>539841.63313601504</v>
      </c>
      <c r="R16" s="135" t="s">
        <v>8</v>
      </c>
      <c r="S16" s="25" t="s">
        <v>8</v>
      </c>
      <c r="T16" s="30">
        <f t="shared" si="28"/>
        <v>0.27776677428857738</v>
      </c>
      <c r="U16" s="28">
        <f t="shared" si="29"/>
        <v>6.7854566741458955E-2</v>
      </c>
      <c r="V16" s="46">
        <f t="shared" si="30"/>
        <v>307550.46806044225</v>
      </c>
      <c r="W16" s="73">
        <f t="shared" si="31"/>
        <v>307550.46806044225</v>
      </c>
      <c r="X16" s="69" t="s">
        <v>8</v>
      </c>
      <c r="Y16" s="25" t="s">
        <v>8</v>
      </c>
      <c r="Z16" s="30">
        <f t="shared" si="32"/>
        <v>0.35931266001318724</v>
      </c>
      <c r="AA16" s="28">
        <f t="shared" si="33"/>
        <v>5.0354672539185352E-2</v>
      </c>
      <c r="AB16" s="46">
        <f t="shared" si="34"/>
        <v>252827.66870317486</v>
      </c>
      <c r="AC16" s="73">
        <f t="shared" si="35"/>
        <v>252827.66870317486</v>
      </c>
      <c r="AD16" s="69" t="s">
        <v>8</v>
      </c>
      <c r="AE16" s="25" t="s">
        <v>8</v>
      </c>
      <c r="AF16" s="30">
        <f t="shared" si="36"/>
        <v>0.42634899492793948</v>
      </c>
      <c r="AG16" s="28">
        <f t="shared" si="37"/>
        <v>4.0055664974749161E-2</v>
      </c>
      <c r="AH16" s="46">
        <f t="shared" si="38"/>
        <v>218625.94554937072</v>
      </c>
      <c r="AI16" s="73">
        <f t="shared" si="39"/>
        <v>218625.94554937072</v>
      </c>
      <c r="AJ16" s="69" t="s">
        <v>8</v>
      </c>
      <c r="AK16" s="25" t="s">
        <v>8</v>
      </c>
      <c r="AL16" s="30">
        <f t="shared" si="40"/>
        <v>0.48431686759819037</v>
      </c>
      <c r="AM16" s="28">
        <f t="shared" si="41"/>
        <v>3.3719661936976841E-2</v>
      </c>
      <c r="AN16" s="46">
        <f t="shared" si="42"/>
        <v>197487.9850903927</v>
      </c>
      <c r="AO16" s="73">
        <f t="shared" si="43"/>
        <v>197487.9850903927</v>
      </c>
      <c r="AP16" s="69" t="s">
        <v>8</v>
      </c>
      <c r="AQ16" s="25" t="s">
        <v>8</v>
      </c>
      <c r="AR16" s="30">
        <f t="shared" si="44"/>
        <v>0.53668008709099779</v>
      </c>
      <c r="AS16" s="28">
        <f t="shared" si="45"/>
        <v>2.7851203822364834E-2</v>
      </c>
      <c r="AT16" s="46">
        <f t="shared" si="46"/>
        <v>173120.81975579177</v>
      </c>
      <c r="AU16" s="73">
        <f t="shared" si="47"/>
        <v>173120.81975579177</v>
      </c>
      <c r="AV16" s="69" t="s">
        <v>8</v>
      </c>
      <c r="AW16" s="25" t="s">
        <v>8</v>
      </c>
      <c r="AX16" s="30">
        <f t="shared" si="48"/>
        <v>0.58258244150257399</v>
      </c>
      <c r="AY16" s="28">
        <f t="shared" si="49"/>
        <v>2.2780471758364174E-2</v>
      </c>
      <c r="AZ16" s="46">
        <f t="shared" si="50"/>
        <v>148785.4051489516</v>
      </c>
      <c r="BA16" s="73">
        <f t="shared" si="51"/>
        <v>148785.4051489516</v>
      </c>
      <c r="BB16" s="69" t="s">
        <v>8</v>
      </c>
      <c r="BC16" s="25" t="s">
        <v>8</v>
      </c>
      <c r="BD16" s="30">
        <f t="shared" si="52"/>
        <v>0.62203234942266783</v>
      </c>
      <c r="BE16" s="28">
        <f t="shared" si="53"/>
        <v>2.1297772718964159E-2</v>
      </c>
      <c r="BF16" s="46">
        <f t="shared" si="54"/>
        <v>149796.34565605415</v>
      </c>
      <c r="BG16" s="73">
        <f t="shared" si="55"/>
        <v>149796.34565605415</v>
      </c>
      <c r="BH16" s="69" t="s">
        <v>8</v>
      </c>
      <c r="BI16" s="25" t="s">
        <v>8</v>
      </c>
      <c r="BJ16" s="30">
        <f t="shared" si="56"/>
        <v>0.66175030453380135</v>
      </c>
      <c r="BK16" s="28">
        <f t="shared" si="57"/>
        <v>1.8532555408170892E-2</v>
      </c>
      <c r="BL16" s="46">
        <f t="shared" si="58"/>
        <v>137799.80745543161</v>
      </c>
      <c r="BM16" s="73">
        <f t="shared" si="59"/>
        <v>31540.755030287139</v>
      </c>
      <c r="BN16" s="69" t="s">
        <v>8</v>
      </c>
      <c r="BO16" s="25" t="s">
        <v>8</v>
      </c>
      <c r="BP16" s="30">
        <f t="shared" si="60"/>
        <v>0.6701132207783711</v>
      </c>
      <c r="BQ16" s="28">
        <f t="shared" si="61"/>
        <v>1.8184866677712797E-2</v>
      </c>
      <c r="BR16" s="46">
        <f t="shared" si="62"/>
        <v>137101.01887375108</v>
      </c>
      <c r="BS16" s="113">
        <f t="shared" si="63"/>
        <v>0</v>
      </c>
      <c r="BT16" s="69" t="s">
        <v>8</v>
      </c>
      <c r="BU16" s="25" t="s">
        <v>8</v>
      </c>
      <c r="BV16" s="30">
        <f t="shared" si="64"/>
        <v>0.6701132207783711</v>
      </c>
      <c r="BW16" s="28">
        <f t="shared" si="65"/>
        <v>1.8184866677712797E-2</v>
      </c>
      <c r="BX16" s="46">
        <f t="shared" si="66"/>
        <v>137101.01887375108</v>
      </c>
      <c r="BY16" s="113">
        <f t="shared" si="67"/>
        <v>0</v>
      </c>
      <c r="BZ16" s="69" t="s">
        <v>8</v>
      </c>
      <c r="CA16" s="25" t="s">
        <v>8</v>
      </c>
      <c r="CB16" s="30">
        <f t="shared" si="68"/>
        <v>0.6701132207783711</v>
      </c>
      <c r="CC16" s="28">
        <f t="shared" si="69"/>
        <v>1.8184866677712797E-2</v>
      </c>
      <c r="CD16" s="46">
        <f t="shared" si="70"/>
        <v>137101.01887375108</v>
      </c>
      <c r="CE16" s="113">
        <f t="shared" si="71"/>
        <v>0</v>
      </c>
      <c r="CF16" s="69" t="s">
        <v>8</v>
      </c>
      <c r="CG16" s="25" t="s">
        <v>8</v>
      </c>
      <c r="CH16" s="30">
        <f t="shared" si="72"/>
        <v>0.6701132207783711</v>
      </c>
      <c r="CI16" s="28">
        <f t="shared" si="73"/>
        <v>1.8184866677712797E-2</v>
      </c>
      <c r="CJ16" s="46">
        <f t="shared" si="74"/>
        <v>137101.01887375108</v>
      </c>
      <c r="CK16" s="113">
        <f t="shared" si="75"/>
        <v>0</v>
      </c>
      <c r="CL16" s="69" t="s">
        <v>8</v>
      </c>
      <c r="CM16" s="25" t="s">
        <v>8</v>
      </c>
      <c r="CN16" s="30">
        <f t="shared" si="76"/>
        <v>0.6701132207783711</v>
      </c>
      <c r="CO16" s="28">
        <f t="shared" si="77"/>
        <v>1.8184866677712797E-2</v>
      </c>
      <c r="CP16" s="46">
        <f t="shared" si="78"/>
        <v>137101.01887375108</v>
      </c>
      <c r="CQ16" s="113">
        <f t="shared" si="79"/>
        <v>0</v>
      </c>
      <c r="CR16" s="69" t="s">
        <v>8</v>
      </c>
      <c r="CS16" s="25" t="s">
        <v>8</v>
      </c>
      <c r="CT16" s="30">
        <f t="shared" si="80"/>
        <v>0.6701132207783711</v>
      </c>
      <c r="CU16" s="28">
        <f t="shared" si="81"/>
        <v>1.8184866677712797E-2</v>
      </c>
      <c r="CV16" s="46">
        <f t="shared" si="82"/>
        <v>137101.01887375108</v>
      </c>
      <c r="CW16" s="113">
        <f t="shared" si="83"/>
        <v>0</v>
      </c>
      <c r="CX16" s="69" t="s">
        <v>8</v>
      </c>
      <c r="CY16" s="25" t="s">
        <v>8</v>
      </c>
      <c r="CZ16" s="30">
        <f t="shared" si="84"/>
        <v>0.6701132207783711</v>
      </c>
      <c r="DA16" s="28">
        <f t="shared" si="85"/>
        <v>1.8184866677712797E-2</v>
      </c>
      <c r="DB16" s="46">
        <f t="shared" si="86"/>
        <v>137101.01887375108</v>
      </c>
      <c r="DC16" s="113">
        <f t="shared" si="87"/>
        <v>0</v>
      </c>
      <c r="DD16" s="69" t="s">
        <v>8</v>
      </c>
      <c r="DE16" s="25" t="s">
        <v>8</v>
      </c>
      <c r="DF16" s="30">
        <f t="shared" si="88"/>
        <v>0.6701132207783711</v>
      </c>
      <c r="DG16" s="28">
        <f t="shared" si="89"/>
        <v>1.8184866677712797E-2</v>
      </c>
      <c r="DH16" s="46">
        <f t="shared" si="90"/>
        <v>137101.01887375108</v>
      </c>
      <c r="DI16" s="113">
        <f t="shared" si="91"/>
        <v>0</v>
      </c>
      <c r="DJ16" s="69" t="s">
        <v>8</v>
      </c>
      <c r="DK16" s="25" t="s">
        <v>8</v>
      </c>
      <c r="DL16" s="30">
        <f t="shared" si="92"/>
        <v>0.6701132207783711</v>
      </c>
      <c r="DM16" s="28">
        <f t="shared" si="93"/>
        <v>1.8184866677712797E-2</v>
      </c>
      <c r="DN16" s="46">
        <f t="shared" si="94"/>
        <v>137101.01887375108</v>
      </c>
      <c r="DO16" s="113">
        <f t="shared" si="95"/>
        <v>0</v>
      </c>
      <c r="DP16" s="69" t="s">
        <v>8</v>
      </c>
      <c r="DQ16" s="25" t="s">
        <v>8</v>
      </c>
      <c r="DR16" s="30">
        <f t="shared" si="96"/>
        <v>0.6701132207783711</v>
      </c>
      <c r="DS16" s="28">
        <f t="shared" si="97"/>
        <v>1.8184866677712797E-2</v>
      </c>
      <c r="DT16" s="46">
        <f t="shared" si="98"/>
        <v>137101.01887375108</v>
      </c>
      <c r="DU16" s="113">
        <f t="shared" si="99"/>
        <v>0</v>
      </c>
      <c r="DV16" s="69" t="s">
        <v>8</v>
      </c>
      <c r="DW16" s="25" t="s">
        <v>8</v>
      </c>
      <c r="DX16" s="30">
        <f t="shared" si="100"/>
        <v>0.6701132207783711</v>
      </c>
      <c r="DY16" s="28">
        <f t="shared" si="101"/>
        <v>1.8184866677712797E-2</v>
      </c>
      <c r="DZ16" s="29">
        <f t="shared" si="102"/>
        <v>137101.01887375108</v>
      </c>
      <c r="EA16" s="73">
        <f t="shared" si="103"/>
        <v>0</v>
      </c>
      <c r="EB16" s="69" t="s">
        <v>8</v>
      </c>
      <c r="EC16" s="25" t="s">
        <v>8</v>
      </c>
      <c r="ED16" s="30">
        <f t="shared" si="104"/>
        <v>0.6701132207783711</v>
      </c>
      <c r="EE16" s="28">
        <f t="shared" si="105"/>
        <v>1.8184866677712797E-2</v>
      </c>
      <c r="EF16" s="29">
        <f t="shared" si="106"/>
        <v>137101.01887375108</v>
      </c>
      <c r="EG16" s="73">
        <f t="shared" si="107"/>
        <v>0</v>
      </c>
      <c r="EH16" s="69" t="s">
        <v>8</v>
      </c>
      <c r="EI16" s="25" t="s">
        <v>8</v>
      </c>
      <c r="EJ16" s="30">
        <f t="shared" si="108"/>
        <v>0.6701132207783711</v>
      </c>
      <c r="EK16" s="28">
        <f t="shared" si="109"/>
        <v>1.8184866677712797E-2</v>
      </c>
      <c r="EL16" s="29">
        <f t="shared" si="110"/>
        <v>137101.01887375108</v>
      </c>
      <c r="EM16" s="73">
        <f t="shared" si="111"/>
        <v>0</v>
      </c>
      <c r="EN16" s="69" t="s">
        <v>8</v>
      </c>
      <c r="EO16" s="25" t="s">
        <v>8</v>
      </c>
      <c r="EP16" s="30">
        <f t="shared" si="112"/>
        <v>0.6701132207783711</v>
      </c>
      <c r="EQ16" s="28">
        <f t="shared" si="113"/>
        <v>1.8184866677712797E-2</v>
      </c>
      <c r="ER16" s="29">
        <f t="shared" si="114"/>
        <v>137101.01887375108</v>
      </c>
      <c r="ES16" s="73">
        <f t="shared" si="115"/>
        <v>0</v>
      </c>
      <c r="ET16" s="69" t="s">
        <v>8</v>
      </c>
      <c r="EU16" s="25" t="s">
        <v>8</v>
      </c>
      <c r="EV16" s="30">
        <f t="shared" si="116"/>
        <v>0.6701132207783711</v>
      </c>
      <c r="EW16" s="28">
        <f t="shared" si="117"/>
        <v>1.8184866677712797E-2</v>
      </c>
      <c r="EX16" s="29">
        <f t="shared" si="118"/>
        <v>137101.01887375108</v>
      </c>
      <c r="EY16" s="73">
        <f t="shared" si="119"/>
        <v>0</v>
      </c>
      <c r="EZ16" s="69" t="s">
        <v>8</v>
      </c>
      <c r="FA16" s="25" t="s">
        <v>8</v>
      </c>
      <c r="FB16" s="30">
        <f t="shared" si="120"/>
        <v>0.6701132207783711</v>
      </c>
      <c r="FC16" s="28">
        <f t="shared" si="121"/>
        <v>1.8184866677712797E-2</v>
      </c>
      <c r="FD16" s="29">
        <f t="shared" si="122"/>
        <v>137101.01887375108</v>
      </c>
      <c r="FE16" s="73">
        <f t="shared" si="123"/>
        <v>0</v>
      </c>
      <c r="FF16" s="69" t="s">
        <v>8</v>
      </c>
      <c r="FG16" s="25" t="s">
        <v>8</v>
      </c>
      <c r="FH16" s="30">
        <f t="shared" si="124"/>
        <v>0.6701132207783711</v>
      </c>
      <c r="FI16" s="28">
        <f t="shared" si="125"/>
        <v>1.8184866677712797E-2</v>
      </c>
      <c r="FJ16" s="29">
        <f t="shared" si="126"/>
        <v>137101.01887375108</v>
      </c>
      <c r="FK16" s="73">
        <f t="shared" si="127"/>
        <v>0</v>
      </c>
      <c r="FL16" s="69" t="s">
        <v>8</v>
      </c>
      <c r="FM16" s="25" t="s">
        <v>8</v>
      </c>
      <c r="FN16" s="30">
        <f t="shared" si="128"/>
        <v>0.6701132207783711</v>
      </c>
      <c r="FO16" s="28">
        <f t="shared" si="129"/>
        <v>1.8184866677712797E-2</v>
      </c>
      <c r="FP16" s="29">
        <f t="shared" si="130"/>
        <v>137101.01887375108</v>
      </c>
      <c r="FQ16" s="73">
        <f t="shared" si="131"/>
        <v>0</v>
      </c>
      <c r="FR16" s="69" t="s">
        <v>8</v>
      </c>
      <c r="FS16" s="25" t="s">
        <v>8</v>
      </c>
      <c r="FT16" s="30">
        <f t="shared" si="132"/>
        <v>0.6701132207783711</v>
      </c>
      <c r="FU16" s="28">
        <f t="shared" si="133"/>
        <v>1.8184866677712797E-2</v>
      </c>
      <c r="FV16" s="29">
        <f t="shared" si="134"/>
        <v>137101.01887375108</v>
      </c>
      <c r="FW16" s="73">
        <f t="shared" si="135"/>
        <v>0</v>
      </c>
      <c r="FX16" s="69" t="s">
        <v>8</v>
      </c>
      <c r="FY16" s="25" t="s">
        <v>8</v>
      </c>
      <c r="FZ16" s="30">
        <f t="shared" si="136"/>
        <v>0.6701132207783711</v>
      </c>
      <c r="GA16" s="28">
        <f t="shared" si="137"/>
        <v>1.8184866677712797E-2</v>
      </c>
      <c r="GB16" s="29">
        <f t="shared" si="138"/>
        <v>137101.01887375108</v>
      </c>
      <c r="GC16" s="73">
        <f t="shared" si="139"/>
        <v>0</v>
      </c>
      <c r="GD16" s="69" t="s">
        <v>8</v>
      </c>
      <c r="GE16" s="25" t="s">
        <v>8</v>
      </c>
      <c r="GF16" s="30">
        <f t="shared" si="140"/>
        <v>0.6701132207783711</v>
      </c>
      <c r="GG16" s="28">
        <f t="shared" si="141"/>
        <v>1.8184866677712797E-2</v>
      </c>
      <c r="GH16" s="29">
        <f t="shared" si="142"/>
        <v>137101.01887375108</v>
      </c>
      <c r="GI16" s="113">
        <f t="shared" si="143"/>
        <v>0</v>
      </c>
      <c r="GJ16" s="142">
        <f t="shared" si="146"/>
        <v>2019577.02613048</v>
      </c>
      <c r="GK16" s="238">
        <f t="shared" si="144"/>
        <v>2069077.3273965677</v>
      </c>
      <c r="GL16" s="196">
        <f t="shared" si="145"/>
        <v>0.67011322077837099</v>
      </c>
      <c r="GM16" s="86">
        <v>2069077.33</v>
      </c>
    </row>
    <row r="17" spans="1:195" s="20" customFormat="1" x14ac:dyDescent="0.25">
      <c r="A17" s="159" t="s">
        <v>180</v>
      </c>
      <c r="B17" s="130" t="s">
        <v>8</v>
      </c>
      <c r="C17" s="130" t="s">
        <v>8</v>
      </c>
      <c r="D17" s="130" t="s">
        <v>8</v>
      </c>
      <c r="E17" s="130" t="s">
        <v>8</v>
      </c>
      <c r="F17" s="130" t="s">
        <v>8</v>
      </c>
      <c r="G17" s="95">
        <f>'Исходные данные'!C19</f>
        <v>497</v>
      </c>
      <c r="H17" s="42">
        <f>'Исходные данные'!E19</f>
        <v>838181</v>
      </c>
      <c r="I17" s="27">
        <f>'Расчет КРП'!G15</f>
        <v>4.2943000806133407</v>
      </c>
      <c r="J17" s="102" t="s">
        <v>8</v>
      </c>
      <c r="K17" s="106">
        <f t="shared" si="22"/>
        <v>0.22034253265363543</v>
      </c>
      <c r="L17" s="70">
        <f t="shared" si="23"/>
        <v>44247.571455477657</v>
      </c>
      <c r="M17" s="66">
        <f t="shared" si="24"/>
        <v>0.23197441402325925</v>
      </c>
      <c r="N17" s="25" t="s">
        <v>8</v>
      </c>
      <c r="O17" s="28">
        <f t="shared" si="25"/>
        <v>3.8982699994124625E-2</v>
      </c>
      <c r="P17" s="29">
        <f t="shared" si="26"/>
        <v>155697.03238625065</v>
      </c>
      <c r="Q17" s="73">
        <f t="shared" si="27"/>
        <v>155697.03238625065</v>
      </c>
      <c r="R17" s="135" t="s">
        <v>8</v>
      </c>
      <c r="S17" s="25" t="s">
        <v>8</v>
      </c>
      <c r="T17" s="30">
        <f t="shared" si="28"/>
        <v>0.27290433064346609</v>
      </c>
      <c r="U17" s="28">
        <f t="shared" si="29"/>
        <v>7.2717010386570247E-2</v>
      </c>
      <c r="V17" s="46">
        <f t="shared" si="30"/>
        <v>332428.66295980173</v>
      </c>
      <c r="W17" s="73">
        <f t="shared" si="31"/>
        <v>332428.66295980173</v>
      </c>
      <c r="X17" s="69" t="s">
        <v>8</v>
      </c>
      <c r="Y17" s="25" t="s">
        <v>8</v>
      </c>
      <c r="Z17" s="30">
        <f t="shared" si="32"/>
        <v>0.36029377698408283</v>
      </c>
      <c r="AA17" s="28">
        <f t="shared" si="33"/>
        <v>4.9373555568289762E-2</v>
      </c>
      <c r="AB17" s="46">
        <f t="shared" si="34"/>
        <v>250037.04889649744</v>
      </c>
      <c r="AC17" s="73">
        <f t="shared" si="35"/>
        <v>250037.04889649744</v>
      </c>
      <c r="AD17" s="69" t="s">
        <v>8</v>
      </c>
      <c r="AE17" s="25" t="s">
        <v>8</v>
      </c>
      <c r="AF17" s="30">
        <f t="shared" si="36"/>
        <v>0.42602396725455555</v>
      </c>
      <c r="AG17" s="28">
        <f t="shared" si="37"/>
        <v>4.0380692648133099E-2</v>
      </c>
      <c r="AH17" s="46">
        <f t="shared" si="38"/>
        <v>222298.56328218171</v>
      </c>
      <c r="AI17" s="73">
        <f t="shared" si="39"/>
        <v>222298.56328218171</v>
      </c>
      <c r="AJ17" s="69" t="s">
        <v>8</v>
      </c>
      <c r="AK17" s="25" t="s">
        <v>8</v>
      </c>
      <c r="AL17" s="30">
        <f t="shared" si="40"/>
        <v>0.48446221440983633</v>
      </c>
      <c r="AM17" s="28">
        <f t="shared" si="41"/>
        <v>3.3574315125330878E-2</v>
      </c>
      <c r="AN17" s="46">
        <f t="shared" si="42"/>
        <v>198330.6185141037</v>
      </c>
      <c r="AO17" s="73">
        <f t="shared" si="43"/>
        <v>198330.6185141037</v>
      </c>
      <c r="AP17" s="69" t="s">
        <v>8</v>
      </c>
      <c r="AQ17" s="25" t="s">
        <v>8</v>
      </c>
      <c r="AR17" s="30">
        <f t="shared" si="44"/>
        <v>0.5365997250264688</v>
      </c>
      <c r="AS17" s="28">
        <f t="shared" si="45"/>
        <v>2.7931565886893828E-2</v>
      </c>
      <c r="AT17" s="46">
        <f t="shared" si="46"/>
        <v>175115.96787265668</v>
      </c>
      <c r="AU17" s="73">
        <f t="shared" si="47"/>
        <v>175115.96787265668</v>
      </c>
      <c r="AV17" s="69" t="s">
        <v>8</v>
      </c>
      <c r="AW17" s="25" t="s">
        <v>8</v>
      </c>
      <c r="AX17" s="30">
        <f t="shared" si="48"/>
        <v>0.58263452642277092</v>
      </c>
      <c r="AY17" s="28">
        <f t="shared" si="49"/>
        <v>2.2728386838167247E-2</v>
      </c>
      <c r="AZ17" s="46">
        <f t="shared" si="50"/>
        <v>149723.98159362967</v>
      </c>
      <c r="BA17" s="73">
        <f t="shared" si="51"/>
        <v>149723.98159362967</v>
      </c>
      <c r="BB17" s="69" t="s">
        <v>8</v>
      </c>
      <c r="BC17" s="25" t="s">
        <v>8</v>
      </c>
      <c r="BD17" s="30">
        <f t="shared" si="52"/>
        <v>0.621994236680253</v>
      </c>
      <c r="BE17" s="28">
        <f t="shared" si="53"/>
        <v>2.1335885461378989E-2</v>
      </c>
      <c r="BF17" s="46">
        <f t="shared" si="54"/>
        <v>151357.11418151343</v>
      </c>
      <c r="BG17" s="73">
        <f t="shared" si="55"/>
        <v>151357.11418151343</v>
      </c>
      <c r="BH17" s="69" t="s">
        <v>8</v>
      </c>
      <c r="BI17" s="25" t="s">
        <v>8</v>
      </c>
      <c r="BJ17" s="30">
        <f t="shared" si="56"/>
        <v>0.66178326777723606</v>
      </c>
      <c r="BK17" s="28">
        <f t="shared" si="57"/>
        <v>1.8499592164736178E-2</v>
      </c>
      <c r="BL17" s="46">
        <f t="shared" si="58"/>
        <v>138739.65002383615</v>
      </c>
      <c r="BM17" s="73">
        <f t="shared" si="59"/>
        <v>31755.873939119221</v>
      </c>
      <c r="BN17" s="69" t="s">
        <v>8</v>
      </c>
      <c r="BO17" s="25" t="s">
        <v>8</v>
      </c>
      <c r="BP17" s="30">
        <f t="shared" si="60"/>
        <v>0.67013130917924235</v>
      </c>
      <c r="BQ17" s="28">
        <f t="shared" si="61"/>
        <v>1.8166778276841544E-2</v>
      </c>
      <c r="BR17" s="46">
        <f t="shared" si="62"/>
        <v>138144.50467199917</v>
      </c>
      <c r="BS17" s="113">
        <f t="shared" si="63"/>
        <v>0</v>
      </c>
      <c r="BT17" s="69" t="s">
        <v>8</v>
      </c>
      <c r="BU17" s="25" t="s">
        <v>8</v>
      </c>
      <c r="BV17" s="30">
        <f t="shared" si="64"/>
        <v>0.67013130917924235</v>
      </c>
      <c r="BW17" s="28">
        <f t="shared" si="65"/>
        <v>1.8166778276841544E-2</v>
      </c>
      <c r="BX17" s="46">
        <f t="shared" si="66"/>
        <v>138144.50467199917</v>
      </c>
      <c r="BY17" s="113">
        <f t="shared" si="67"/>
        <v>0</v>
      </c>
      <c r="BZ17" s="69" t="s">
        <v>8</v>
      </c>
      <c r="CA17" s="25" t="s">
        <v>8</v>
      </c>
      <c r="CB17" s="30">
        <f t="shared" si="68"/>
        <v>0.67013130917924235</v>
      </c>
      <c r="CC17" s="28">
        <f t="shared" si="69"/>
        <v>1.8166778276841544E-2</v>
      </c>
      <c r="CD17" s="46">
        <f t="shared" si="70"/>
        <v>138144.50467199917</v>
      </c>
      <c r="CE17" s="113">
        <f t="shared" si="71"/>
        <v>0</v>
      </c>
      <c r="CF17" s="69" t="s">
        <v>8</v>
      </c>
      <c r="CG17" s="25" t="s">
        <v>8</v>
      </c>
      <c r="CH17" s="30">
        <f t="shared" si="72"/>
        <v>0.67013130917924235</v>
      </c>
      <c r="CI17" s="28">
        <f t="shared" si="73"/>
        <v>1.8166778276841544E-2</v>
      </c>
      <c r="CJ17" s="46">
        <f t="shared" si="74"/>
        <v>138144.50467199917</v>
      </c>
      <c r="CK17" s="113">
        <f t="shared" si="75"/>
        <v>0</v>
      </c>
      <c r="CL17" s="69" t="s">
        <v>8</v>
      </c>
      <c r="CM17" s="25" t="s">
        <v>8</v>
      </c>
      <c r="CN17" s="30">
        <f t="shared" si="76"/>
        <v>0.67013130917924235</v>
      </c>
      <c r="CO17" s="28">
        <f t="shared" si="77"/>
        <v>1.8166778276841544E-2</v>
      </c>
      <c r="CP17" s="46">
        <f t="shared" si="78"/>
        <v>138144.50467199917</v>
      </c>
      <c r="CQ17" s="113">
        <f t="shared" si="79"/>
        <v>0</v>
      </c>
      <c r="CR17" s="69" t="s">
        <v>8</v>
      </c>
      <c r="CS17" s="25" t="s">
        <v>8</v>
      </c>
      <c r="CT17" s="30">
        <f t="shared" si="80"/>
        <v>0.67013130917924235</v>
      </c>
      <c r="CU17" s="28">
        <f t="shared" si="81"/>
        <v>1.8166778276841544E-2</v>
      </c>
      <c r="CV17" s="46">
        <f t="shared" si="82"/>
        <v>138144.50467199917</v>
      </c>
      <c r="CW17" s="113">
        <f t="shared" si="83"/>
        <v>0</v>
      </c>
      <c r="CX17" s="69" t="s">
        <v>8</v>
      </c>
      <c r="CY17" s="25" t="s">
        <v>8</v>
      </c>
      <c r="CZ17" s="30">
        <f t="shared" si="84"/>
        <v>0.67013130917924235</v>
      </c>
      <c r="DA17" s="28">
        <f t="shared" si="85"/>
        <v>1.8166778276841544E-2</v>
      </c>
      <c r="DB17" s="46">
        <f t="shared" si="86"/>
        <v>138144.50467199917</v>
      </c>
      <c r="DC17" s="113">
        <f t="shared" si="87"/>
        <v>0</v>
      </c>
      <c r="DD17" s="69" t="s">
        <v>8</v>
      </c>
      <c r="DE17" s="25" t="s">
        <v>8</v>
      </c>
      <c r="DF17" s="30">
        <f t="shared" si="88"/>
        <v>0.67013130917924235</v>
      </c>
      <c r="DG17" s="28">
        <f t="shared" si="89"/>
        <v>1.8166778276841544E-2</v>
      </c>
      <c r="DH17" s="46">
        <f t="shared" si="90"/>
        <v>138144.50467199917</v>
      </c>
      <c r="DI17" s="113">
        <f t="shared" si="91"/>
        <v>0</v>
      </c>
      <c r="DJ17" s="69" t="s">
        <v>8</v>
      </c>
      <c r="DK17" s="25" t="s">
        <v>8</v>
      </c>
      <c r="DL17" s="30">
        <f t="shared" si="92"/>
        <v>0.67013130917924235</v>
      </c>
      <c r="DM17" s="28">
        <f t="shared" si="93"/>
        <v>1.8166778276841544E-2</v>
      </c>
      <c r="DN17" s="46">
        <f t="shared" si="94"/>
        <v>138144.50467199917</v>
      </c>
      <c r="DO17" s="113">
        <f t="shared" si="95"/>
        <v>0</v>
      </c>
      <c r="DP17" s="69" t="s">
        <v>8</v>
      </c>
      <c r="DQ17" s="25" t="s">
        <v>8</v>
      </c>
      <c r="DR17" s="30">
        <f t="shared" si="96"/>
        <v>0.67013130917924235</v>
      </c>
      <c r="DS17" s="28">
        <f t="shared" si="97"/>
        <v>1.8166778276841544E-2</v>
      </c>
      <c r="DT17" s="46">
        <f t="shared" si="98"/>
        <v>138144.50467199917</v>
      </c>
      <c r="DU17" s="113">
        <f t="shared" si="99"/>
        <v>0</v>
      </c>
      <c r="DV17" s="69" t="s">
        <v>8</v>
      </c>
      <c r="DW17" s="25" t="s">
        <v>8</v>
      </c>
      <c r="DX17" s="30">
        <f t="shared" si="100"/>
        <v>0.67013130917924235</v>
      </c>
      <c r="DY17" s="28">
        <f t="shared" si="101"/>
        <v>1.8166778276841544E-2</v>
      </c>
      <c r="DZ17" s="29">
        <f t="shared" si="102"/>
        <v>138144.50467199917</v>
      </c>
      <c r="EA17" s="73">
        <f t="shared" si="103"/>
        <v>0</v>
      </c>
      <c r="EB17" s="69" t="s">
        <v>8</v>
      </c>
      <c r="EC17" s="25" t="s">
        <v>8</v>
      </c>
      <c r="ED17" s="30">
        <f t="shared" si="104"/>
        <v>0.67013130917924235</v>
      </c>
      <c r="EE17" s="28">
        <f t="shared" si="105"/>
        <v>1.8166778276841544E-2</v>
      </c>
      <c r="EF17" s="29">
        <f t="shared" si="106"/>
        <v>138144.50467199917</v>
      </c>
      <c r="EG17" s="73">
        <f t="shared" si="107"/>
        <v>0</v>
      </c>
      <c r="EH17" s="69" t="s">
        <v>8</v>
      </c>
      <c r="EI17" s="25" t="s">
        <v>8</v>
      </c>
      <c r="EJ17" s="30">
        <f t="shared" si="108"/>
        <v>0.67013130917924235</v>
      </c>
      <c r="EK17" s="28">
        <f t="shared" si="109"/>
        <v>1.8166778276841544E-2</v>
      </c>
      <c r="EL17" s="29">
        <f t="shared" si="110"/>
        <v>138144.50467199917</v>
      </c>
      <c r="EM17" s="73">
        <f t="shared" si="111"/>
        <v>0</v>
      </c>
      <c r="EN17" s="69" t="s">
        <v>8</v>
      </c>
      <c r="EO17" s="25" t="s">
        <v>8</v>
      </c>
      <c r="EP17" s="30">
        <f t="shared" si="112"/>
        <v>0.67013130917924235</v>
      </c>
      <c r="EQ17" s="28">
        <f t="shared" si="113"/>
        <v>1.8166778276841544E-2</v>
      </c>
      <c r="ER17" s="29">
        <f t="shared" si="114"/>
        <v>138144.50467199917</v>
      </c>
      <c r="ES17" s="73">
        <f t="shared" si="115"/>
        <v>0</v>
      </c>
      <c r="ET17" s="69" t="s">
        <v>8</v>
      </c>
      <c r="EU17" s="25" t="s">
        <v>8</v>
      </c>
      <c r="EV17" s="30">
        <f t="shared" si="116"/>
        <v>0.67013130917924235</v>
      </c>
      <c r="EW17" s="28">
        <f t="shared" si="117"/>
        <v>1.8166778276841544E-2</v>
      </c>
      <c r="EX17" s="29">
        <f t="shared" si="118"/>
        <v>138144.50467199917</v>
      </c>
      <c r="EY17" s="73">
        <f t="shared" si="119"/>
        <v>0</v>
      </c>
      <c r="EZ17" s="69" t="s">
        <v>8</v>
      </c>
      <c r="FA17" s="25" t="s">
        <v>8</v>
      </c>
      <c r="FB17" s="30">
        <f t="shared" si="120"/>
        <v>0.67013130917924235</v>
      </c>
      <c r="FC17" s="28">
        <f t="shared" si="121"/>
        <v>1.8166778276841544E-2</v>
      </c>
      <c r="FD17" s="29">
        <f t="shared" si="122"/>
        <v>138144.50467199917</v>
      </c>
      <c r="FE17" s="73">
        <f t="shared" si="123"/>
        <v>0</v>
      </c>
      <c r="FF17" s="69" t="s">
        <v>8</v>
      </c>
      <c r="FG17" s="25" t="s">
        <v>8</v>
      </c>
      <c r="FH17" s="30">
        <f t="shared" si="124"/>
        <v>0.67013130917924235</v>
      </c>
      <c r="FI17" s="28">
        <f t="shared" si="125"/>
        <v>1.8166778276841544E-2</v>
      </c>
      <c r="FJ17" s="29">
        <f t="shared" si="126"/>
        <v>138144.50467199917</v>
      </c>
      <c r="FK17" s="73">
        <f t="shared" si="127"/>
        <v>0</v>
      </c>
      <c r="FL17" s="69" t="s">
        <v>8</v>
      </c>
      <c r="FM17" s="25" t="s">
        <v>8</v>
      </c>
      <c r="FN17" s="30">
        <f t="shared" si="128"/>
        <v>0.67013130917924235</v>
      </c>
      <c r="FO17" s="28">
        <f t="shared" si="129"/>
        <v>1.8166778276841544E-2</v>
      </c>
      <c r="FP17" s="29">
        <f t="shared" si="130"/>
        <v>138144.50467199917</v>
      </c>
      <c r="FQ17" s="73">
        <f t="shared" si="131"/>
        <v>0</v>
      </c>
      <c r="FR17" s="69" t="s">
        <v>8</v>
      </c>
      <c r="FS17" s="25" t="s">
        <v>8</v>
      </c>
      <c r="FT17" s="30">
        <f t="shared" si="132"/>
        <v>0.67013130917924235</v>
      </c>
      <c r="FU17" s="28">
        <f t="shared" si="133"/>
        <v>1.8166778276841544E-2</v>
      </c>
      <c r="FV17" s="29">
        <f t="shared" si="134"/>
        <v>138144.50467199917</v>
      </c>
      <c r="FW17" s="73">
        <f t="shared" si="135"/>
        <v>0</v>
      </c>
      <c r="FX17" s="69" t="s">
        <v>8</v>
      </c>
      <c r="FY17" s="25" t="s">
        <v>8</v>
      </c>
      <c r="FZ17" s="30">
        <f t="shared" si="136"/>
        <v>0.67013130917924235</v>
      </c>
      <c r="GA17" s="28">
        <f t="shared" si="137"/>
        <v>1.8166778276841544E-2</v>
      </c>
      <c r="GB17" s="29">
        <f t="shared" si="138"/>
        <v>138144.50467199917</v>
      </c>
      <c r="GC17" s="73">
        <f t="shared" si="139"/>
        <v>0</v>
      </c>
      <c r="GD17" s="69" t="s">
        <v>8</v>
      </c>
      <c r="GE17" s="25" t="s">
        <v>8</v>
      </c>
      <c r="GF17" s="30">
        <f t="shared" si="140"/>
        <v>0.67013130917924235</v>
      </c>
      <c r="GG17" s="28">
        <f t="shared" si="141"/>
        <v>1.8166778276841544E-2</v>
      </c>
      <c r="GH17" s="29">
        <f t="shared" si="142"/>
        <v>138144.50467199917</v>
      </c>
      <c r="GI17" s="113">
        <f t="shared" si="143"/>
        <v>0</v>
      </c>
      <c r="GJ17" s="142">
        <f t="shared" si="146"/>
        <v>1666744.8636257541</v>
      </c>
      <c r="GK17" s="238">
        <f t="shared" si="144"/>
        <v>1710992.4350812319</v>
      </c>
      <c r="GL17" s="196">
        <f t="shared" si="145"/>
        <v>0.67013130917924213</v>
      </c>
      <c r="GM17" s="86">
        <v>1710992.43</v>
      </c>
    </row>
    <row r="18" spans="1:195" s="20" customFormat="1" x14ac:dyDescent="0.25">
      <c r="A18" s="159" t="s">
        <v>181</v>
      </c>
      <c r="B18" s="130" t="s">
        <v>8</v>
      </c>
      <c r="C18" s="130" t="s">
        <v>8</v>
      </c>
      <c r="D18" s="130" t="s">
        <v>8</v>
      </c>
      <c r="E18" s="130" t="s">
        <v>8</v>
      </c>
      <c r="F18" s="130" t="s">
        <v>8</v>
      </c>
      <c r="G18" s="95">
        <f>'Исходные данные'!C20</f>
        <v>348</v>
      </c>
      <c r="H18" s="42">
        <f>'Исходные данные'!E20</f>
        <v>380385</v>
      </c>
      <c r="I18" s="27">
        <f>'Расчет КРП'!G16</f>
        <v>4.3688951952977062</v>
      </c>
      <c r="J18" s="102" t="s">
        <v>8</v>
      </c>
      <c r="K18" s="106">
        <f t="shared" si="22"/>
        <v>0.1403724290280286</v>
      </c>
      <c r="L18" s="70">
        <f t="shared" si="23"/>
        <v>30982.20295071675</v>
      </c>
      <c r="M18" s="66">
        <f t="shared" si="24"/>
        <v>0.15180570606269472</v>
      </c>
      <c r="N18" s="25" t="s">
        <v>8</v>
      </c>
      <c r="O18" s="28">
        <f t="shared" si="25"/>
        <v>0.11915140795468915</v>
      </c>
      <c r="P18" s="29">
        <f t="shared" si="26"/>
        <v>339007.79985447333</v>
      </c>
      <c r="Q18" s="73">
        <f t="shared" si="27"/>
        <v>339007.79985447333</v>
      </c>
      <c r="R18" s="135" t="s">
        <v>8</v>
      </c>
      <c r="S18" s="25" t="s">
        <v>8</v>
      </c>
      <c r="T18" s="30">
        <f t="shared" si="28"/>
        <v>0.27690882086748508</v>
      </c>
      <c r="U18" s="28">
        <f t="shared" si="29"/>
        <v>6.8712520162551249E-2</v>
      </c>
      <c r="V18" s="46">
        <f t="shared" si="30"/>
        <v>223769.25579353052</v>
      </c>
      <c r="W18" s="73">
        <f t="shared" si="31"/>
        <v>223769.25579353052</v>
      </c>
      <c r="X18" s="69" t="s">
        <v>8</v>
      </c>
      <c r="Y18" s="25" t="s">
        <v>8</v>
      </c>
      <c r="Z18" s="30">
        <f t="shared" si="32"/>
        <v>0.35948577310674834</v>
      </c>
      <c r="AA18" s="28">
        <f t="shared" si="33"/>
        <v>5.0181559445624246E-2</v>
      </c>
      <c r="AB18" s="46">
        <f t="shared" si="34"/>
        <v>181032.35747407007</v>
      </c>
      <c r="AC18" s="73">
        <f t="shared" si="35"/>
        <v>181032.35747407007</v>
      </c>
      <c r="AD18" s="69" t="s">
        <v>8</v>
      </c>
      <c r="AE18" s="25" t="s">
        <v>8</v>
      </c>
      <c r="AF18" s="30">
        <f t="shared" si="36"/>
        <v>0.42629164545004683</v>
      </c>
      <c r="AG18" s="28">
        <f t="shared" si="37"/>
        <v>4.0113014452641815E-2</v>
      </c>
      <c r="AH18" s="46">
        <f t="shared" si="38"/>
        <v>157307.80981092976</v>
      </c>
      <c r="AI18" s="73">
        <f t="shared" si="39"/>
        <v>157307.80981092976</v>
      </c>
      <c r="AJ18" s="69" t="s">
        <v>8</v>
      </c>
      <c r="AK18" s="25" t="s">
        <v>8</v>
      </c>
      <c r="AL18" s="30">
        <f t="shared" si="40"/>
        <v>0.48434251330298356</v>
      </c>
      <c r="AM18" s="28">
        <f t="shared" si="41"/>
        <v>3.3694016232183654E-2</v>
      </c>
      <c r="AN18" s="46">
        <f t="shared" si="42"/>
        <v>141787.34729305713</v>
      </c>
      <c r="AO18" s="73">
        <f t="shared" si="43"/>
        <v>141787.34729305713</v>
      </c>
      <c r="AP18" s="69" t="s">
        <v>8</v>
      </c>
      <c r="AQ18" s="25" t="s">
        <v>8</v>
      </c>
      <c r="AR18" s="30">
        <f t="shared" si="44"/>
        <v>0.53666590761392408</v>
      </c>
      <c r="AS18" s="28">
        <f t="shared" si="45"/>
        <v>2.7865383299438551E-2</v>
      </c>
      <c r="AT18" s="46">
        <f t="shared" si="46"/>
        <v>124450.7674875487</v>
      </c>
      <c r="AU18" s="73">
        <f t="shared" si="47"/>
        <v>124450.7674875487</v>
      </c>
      <c r="AV18" s="69" t="s">
        <v>8</v>
      </c>
      <c r="AW18" s="25" t="s">
        <v>8</v>
      </c>
      <c r="AX18" s="30">
        <f t="shared" si="48"/>
        <v>0.58259163162152072</v>
      </c>
      <c r="AY18" s="28">
        <f t="shared" si="49"/>
        <v>2.277128163941744E-2</v>
      </c>
      <c r="AZ18" s="46">
        <f t="shared" si="50"/>
        <v>106859.29944977301</v>
      </c>
      <c r="BA18" s="73">
        <f t="shared" si="51"/>
        <v>106859.29944977301</v>
      </c>
      <c r="BB18" s="69" t="s">
        <v>8</v>
      </c>
      <c r="BC18" s="25" t="s">
        <v>8</v>
      </c>
      <c r="BD18" s="30">
        <f t="shared" si="52"/>
        <v>0.62202562462334288</v>
      </c>
      <c r="BE18" s="28">
        <f t="shared" si="53"/>
        <v>2.1304497518289112E-2</v>
      </c>
      <c r="BF18" s="46">
        <f t="shared" si="54"/>
        <v>107662.77157325088</v>
      </c>
      <c r="BG18" s="73">
        <f t="shared" si="55"/>
        <v>107662.77157325088</v>
      </c>
      <c r="BH18" s="69" t="s">
        <v>8</v>
      </c>
      <c r="BI18" s="25" t="s">
        <v>8</v>
      </c>
      <c r="BJ18" s="30">
        <f t="shared" si="56"/>
        <v>0.66175612073025292</v>
      </c>
      <c r="BK18" s="28">
        <f t="shared" si="57"/>
        <v>1.8526739211719323E-2</v>
      </c>
      <c r="BL18" s="46">
        <f t="shared" si="58"/>
        <v>98978.193130545871</v>
      </c>
      <c r="BM18" s="73">
        <f t="shared" si="59"/>
        <v>22654.944157891448</v>
      </c>
      <c r="BN18" s="69" t="s">
        <v>8</v>
      </c>
      <c r="BO18" s="25" t="s">
        <v>8</v>
      </c>
      <c r="BP18" s="30">
        <f t="shared" si="60"/>
        <v>0.67011641238459685</v>
      </c>
      <c r="BQ18" s="28">
        <f t="shared" si="61"/>
        <v>1.8181675071487047E-2</v>
      </c>
      <c r="BR18" s="46">
        <f t="shared" si="62"/>
        <v>98489.896860309906</v>
      </c>
      <c r="BS18" s="113">
        <f t="shared" si="63"/>
        <v>0</v>
      </c>
      <c r="BT18" s="69" t="s">
        <v>8</v>
      </c>
      <c r="BU18" s="25" t="s">
        <v>8</v>
      </c>
      <c r="BV18" s="30">
        <f t="shared" si="64"/>
        <v>0.67011641238459685</v>
      </c>
      <c r="BW18" s="28">
        <f t="shared" si="65"/>
        <v>1.8181675071487047E-2</v>
      </c>
      <c r="BX18" s="46">
        <f t="shared" si="66"/>
        <v>98489.896860309906</v>
      </c>
      <c r="BY18" s="113">
        <f t="shared" si="67"/>
        <v>0</v>
      </c>
      <c r="BZ18" s="69" t="s">
        <v>8</v>
      </c>
      <c r="CA18" s="25" t="s">
        <v>8</v>
      </c>
      <c r="CB18" s="30">
        <f t="shared" si="68"/>
        <v>0.67011641238459685</v>
      </c>
      <c r="CC18" s="28">
        <f t="shared" si="69"/>
        <v>1.8181675071487047E-2</v>
      </c>
      <c r="CD18" s="46">
        <f t="shared" si="70"/>
        <v>98489.896860309906</v>
      </c>
      <c r="CE18" s="113">
        <f t="shared" si="71"/>
        <v>0</v>
      </c>
      <c r="CF18" s="69" t="s">
        <v>8</v>
      </c>
      <c r="CG18" s="25" t="s">
        <v>8</v>
      </c>
      <c r="CH18" s="30">
        <f t="shared" si="72"/>
        <v>0.67011641238459685</v>
      </c>
      <c r="CI18" s="28">
        <f t="shared" si="73"/>
        <v>1.8181675071487047E-2</v>
      </c>
      <c r="CJ18" s="46">
        <f t="shared" si="74"/>
        <v>98489.896860309906</v>
      </c>
      <c r="CK18" s="113">
        <f t="shared" si="75"/>
        <v>0</v>
      </c>
      <c r="CL18" s="69" t="s">
        <v>8</v>
      </c>
      <c r="CM18" s="25" t="s">
        <v>8</v>
      </c>
      <c r="CN18" s="30">
        <f t="shared" si="76"/>
        <v>0.67011641238459685</v>
      </c>
      <c r="CO18" s="28">
        <f t="shared" si="77"/>
        <v>1.8181675071487047E-2</v>
      </c>
      <c r="CP18" s="46">
        <f t="shared" si="78"/>
        <v>98489.896860309906</v>
      </c>
      <c r="CQ18" s="113">
        <f t="shared" si="79"/>
        <v>0</v>
      </c>
      <c r="CR18" s="69" t="s">
        <v>8</v>
      </c>
      <c r="CS18" s="25" t="s">
        <v>8</v>
      </c>
      <c r="CT18" s="30">
        <f t="shared" si="80"/>
        <v>0.67011641238459685</v>
      </c>
      <c r="CU18" s="28">
        <f t="shared" si="81"/>
        <v>1.8181675071487047E-2</v>
      </c>
      <c r="CV18" s="46">
        <f t="shared" si="82"/>
        <v>98489.896860309906</v>
      </c>
      <c r="CW18" s="113">
        <f t="shared" si="83"/>
        <v>0</v>
      </c>
      <c r="CX18" s="69" t="s">
        <v>8</v>
      </c>
      <c r="CY18" s="25" t="s">
        <v>8</v>
      </c>
      <c r="CZ18" s="30">
        <f t="shared" si="84"/>
        <v>0.67011641238459685</v>
      </c>
      <c r="DA18" s="28">
        <f t="shared" si="85"/>
        <v>1.8181675071487047E-2</v>
      </c>
      <c r="DB18" s="46">
        <f t="shared" si="86"/>
        <v>98489.896860309906</v>
      </c>
      <c r="DC18" s="113">
        <f t="shared" si="87"/>
        <v>0</v>
      </c>
      <c r="DD18" s="69" t="s">
        <v>8</v>
      </c>
      <c r="DE18" s="25" t="s">
        <v>8</v>
      </c>
      <c r="DF18" s="30">
        <f t="shared" si="88"/>
        <v>0.67011641238459685</v>
      </c>
      <c r="DG18" s="28">
        <f t="shared" si="89"/>
        <v>1.8181675071487047E-2</v>
      </c>
      <c r="DH18" s="46">
        <f t="shared" si="90"/>
        <v>98489.896860309906</v>
      </c>
      <c r="DI18" s="113">
        <f t="shared" si="91"/>
        <v>0</v>
      </c>
      <c r="DJ18" s="69" t="s">
        <v>8</v>
      </c>
      <c r="DK18" s="25" t="s">
        <v>8</v>
      </c>
      <c r="DL18" s="30">
        <f t="shared" si="92"/>
        <v>0.67011641238459685</v>
      </c>
      <c r="DM18" s="28">
        <f t="shared" si="93"/>
        <v>1.8181675071487047E-2</v>
      </c>
      <c r="DN18" s="46">
        <f t="shared" si="94"/>
        <v>98489.896860309906</v>
      </c>
      <c r="DO18" s="113">
        <f t="shared" si="95"/>
        <v>0</v>
      </c>
      <c r="DP18" s="69" t="s">
        <v>8</v>
      </c>
      <c r="DQ18" s="25" t="s">
        <v>8</v>
      </c>
      <c r="DR18" s="30">
        <f t="shared" si="96"/>
        <v>0.67011641238459685</v>
      </c>
      <c r="DS18" s="28">
        <f t="shared" si="97"/>
        <v>1.8181675071487047E-2</v>
      </c>
      <c r="DT18" s="46">
        <f t="shared" si="98"/>
        <v>98489.896860309906</v>
      </c>
      <c r="DU18" s="113">
        <f t="shared" si="99"/>
        <v>0</v>
      </c>
      <c r="DV18" s="69" t="s">
        <v>8</v>
      </c>
      <c r="DW18" s="25" t="s">
        <v>8</v>
      </c>
      <c r="DX18" s="30">
        <f t="shared" si="100"/>
        <v>0.67011641238459685</v>
      </c>
      <c r="DY18" s="28">
        <f t="shared" si="101"/>
        <v>1.8181675071487047E-2</v>
      </c>
      <c r="DZ18" s="29">
        <f t="shared" si="102"/>
        <v>98489.896860309906</v>
      </c>
      <c r="EA18" s="73">
        <f t="shared" si="103"/>
        <v>0</v>
      </c>
      <c r="EB18" s="69" t="s">
        <v>8</v>
      </c>
      <c r="EC18" s="25" t="s">
        <v>8</v>
      </c>
      <c r="ED18" s="30">
        <f t="shared" si="104"/>
        <v>0.67011641238459685</v>
      </c>
      <c r="EE18" s="28">
        <f t="shared" si="105"/>
        <v>1.8181675071487047E-2</v>
      </c>
      <c r="EF18" s="29">
        <f t="shared" si="106"/>
        <v>98489.896860309906</v>
      </c>
      <c r="EG18" s="73">
        <f t="shared" si="107"/>
        <v>0</v>
      </c>
      <c r="EH18" s="69" t="s">
        <v>8</v>
      </c>
      <c r="EI18" s="25" t="s">
        <v>8</v>
      </c>
      <c r="EJ18" s="30">
        <f t="shared" si="108"/>
        <v>0.67011641238459685</v>
      </c>
      <c r="EK18" s="28">
        <f t="shared" si="109"/>
        <v>1.8181675071487047E-2</v>
      </c>
      <c r="EL18" s="29">
        <f t="shared" si="110"/>
        <v>98489.896860309906</v>
      </c>
      <c r="EM18" s="73">
        <f t="shared" si="111"/>
        <v>0</v>
      </c>
      <c r="EN18" s="69" t="s">
        <v>8</v>
      </c>
      <c r="EO18" s="25" t="s">
        <v>8</v>
      </c>
      <c r="EP18" s="30">
        <f t="shared" si="112"/>
        <v>0.67011641238459685</v>
      </c>
      <c r="EQ18" s="28">
        <f t="shared" si="113"/>
        <v>1.8181675071487047E-2</v>
      </c>
      <c r="ER18" s="29">
        <f t="shared" si="114"/>
        <v>98489.896860309906</v>
      </c>
      <c r="ES18" s="73">
        <f t="shared" si="115"/>
        <v>0</v>
      </c>
      <c r="ET18" s="69" t="s">
        <v>8</v>
      </c>
      <c r="EU18" s="25" t="s">
        <v>8</v>
      </c>
      <c r="EV18" s="30">
        <f t="shared" si="116"/>
        <v>0.67011641238459685</v>
      </c>
      <c r="EW18" s="28">
        <f t="shared" si="117"/>
        <v>1.8181675071487047E-2</v>
      </c>
      <c r="EX18" s="29">
        <f t="shared" si="118"/>
        <v>98489.896860309906</v>
      </c>
      <c r="EY18" s="73">
        <f t="shared" si="119"/>
        <v>0</v>
      </c>
      <c r="EZ18" s="69" t="s">
        <v>8</v>
      </c>
      <c r="FA18" s="25" t="s">
        <v>8</v>
      </c>
      <c r="FB18" s="30">
        <f t="shared" si="120"/>
        <v>0.67011641238459685</v>
      </c>
      <c r="FC18" s="28">
        <f t="shared" si="121"/>
        <v>1.8181675071487047E-2</v>
      </c>
      <c r="FD18" s="29">
        <f t="shared" si="122"/>
        <v>98489.896860309906</v>
      </c>
      <c r="FE18" s="73">
        <f t="shared" si="123"/>
        <v>0</v>
      </c>
      <c r="FF18" s="69" t="s">
        <v>8</v>
      </c>
      <c r="FG18" s="25" t="s">
        <v>8</v>
      </c>
      <c r="FH18" s="30">
        <f t="shared" si="124"/>
        <v>0.67011641238459685</v>
      </c>
      <c r="FI18" s="28">
        <f t="shared" si="125"/>
        <v>1.8181675071487047E-2</v>
      </c>
      <c r="FJ18" s="29">
        <f t="shared" si="126"/>
        <v>98489.896860309906</v>
      </c>
      <c r="FK18" s="73">
        <f t="shared" si="127"/>
        <v>0</v>
      </c>
      <c r="FL18" s="69" t="s">
        <v>8</v>
      </c>
      <c r="FM18" s="25" t="s">
        <v>8</v>
      </c>
      <c r="FN18" s="30">
        <f t="shared" si="128"/>
        <v>0.67011641238459685</v>
      </c>
      <c r="FO18" s="28">
        <f t="shared" si="129"/>
        <v>1.8181675071487047E-2</v>
      </c>
      <c r="FP18" s="29">
        <f t="shared" si="130"/>
        <v>98489.896860309906</v>
      </c>
      <c r="FQ18" s="73">
        <f t="shared" si="131"/>
        <v>0</v>
      </c>
      <c r="FR18" s="69" t="s">
        <v>8</v>
      </c>
      <c r="FS18" s="25" t="s">
        <v>8</v>
      </c>
      <c r="FT18" s="30">
        <f t="shared" si="132"/>
        <v>0.67011641238459685</v>
      </c>
      <c r="FU18" s="28">
        <f t="shared" si="133"/>
        <v>1.8181675071487047E-2</v>
      </c>
      <c r="FV18" s="29">
        <f t="shared" si="134"/>
        <v>98489.896860309906</v>
      </c>
      <c r="FW18" s="73">
        <f t="shared" si="135"/>
        <v>0</v>
      </c>
      <c r="FX18" s="69" t="s">
        <v>8</v>
      </c>
      <c r="FY18" s="25" t="s">
        <v>8</v>
      </c>
      <c r="FZ18" s="30">
        <f t="shared" si="136"/>
        <v>0.67011641238459685</v>
      </c>
      <c r="GA18" s="28">
        <f t="shared" si="137"/>
        <v>1.8181675071487047E-2</v>
      </c>
      <c r="GB18" s="29">
        <f t="shared" si="138"/>
        <v>98489.896860309906</v>
      </c>
      <c r="GC18" s="73">
        <f t="shared" si="139"/>
        <v>0</v>
      </c>
      <c r="GD18" s="69" t="s">
        <v>8</v>
      </c>
      <c r="GE18" s="25" t="s">
        <v>8</v>
      </c>
      <c r="GF18" s="30">
        <f t="shared" si="140"/>
        <v>0.67011641238459685</v>
      </c>
      <c r="GG18" s="28">
        <f t="shared" si="141"/>
        <v>1.8181675071487047E-2</v>
      </c>
      <c r="GH18" s="29">
        <f t="shared" si="142"/>
        <v>98489.896860309906</v>
      </c>
      <c r="GI18" s="113">
        <f t="shared" si="143"/>
        <v>0</v>
      </c>
      <c r="GJ18" s="142">
        <f t="shared" si="146"/>
        <v>1404532.3528945248</v>
      </c>
      <c r="GK18" s="238">
        <f t="shared" si="144"/>
        <v>1435514.5558452415</v>
      </c>
      <c r="GL18" s="196">
        <f t="shared" si="145"/>
        <v>0.67011641238459685</v>
      </c>
      <c r="GM18" s="86">
        <v>1435514.56</v>
      </c>
    </row>
    <row r="19" spans="1:195" s="20" customFormat="1" ht="31.5" x14ac:dyDescent="0.25">
      <c r="A19" s="159" t="s">
        <v>182</v>
      </c>
      <c r="B19" s="130" t="s">
        <v>8</v>
      </c>
      <c r="C19" s="130" t="s">
        <v>8</v>
      </c>
      <c r="D19" s="130" t="s">
        <v>8</v>
      </c>
      <c r="E19" s="130" t="s">
        <v>8</v>
      </c>
      <c r="F19" s="130" t="s">
        <v>8</v>
      </c>
      <c r="G19" s="95">
        <f>'Исходные данные'!C21</f>
        <v>780</v>
      </c>
      <c r="H19" s="42">
        <f>'Исходные данные'!E21</f>
        <v>775969</v>
      </c>
      <c r="I19" s="27">
        <f>'Расчет КРП'!G17</f>
        <v>3.3925157462083706</v>
      </c>
      <c r="J19" s="102" t="s">
        <v>8</v>
      </c>
      <c r="K19" s="106">
        <f t="shared" si="22"/>
        <v>0.16452700788475044</v>
      </c>
      <c r="L19" s="70">
        <f t="shared" si="23"/>
        <v>69442.868682640998</v>
      </c>
      <c r="M19" s="66">
        <f t="shared" si="24"/>
        <v>0.17925082726837083</v>
      </c>
      <c r="N19" s="25" t="s">
        <v>8</v>
      </c>
      <c r="O19" s="28">
        <f t="shared" si="25"/>
        <v>9.1706286749013044E-2</v>
      </c>
      <c r="P19" s="29">
        <f t="shared" si="26"/>
        <v>454124.80574363668</v>
      </c>
      <c r="Q19" s="73">
        <f t="shared" si="27"/>
        <v>454124.80574363668</v>
      </c>
      <c r="R19" s="135" t="s">
        <v>8</v>
      </c>
      <c r="S19" s="25" t="s">
        <v>8</v>
      </c>
      <c r="T19" s="30">
        <f t="shared" si="28"/>
        <v>0.27553791540622696</v>
      </c>
      <c r="U19" s="28">
        <f t="shared" si="29"/>
        <v>7.008342562380937E-2</v>
      </c>
      <c r="V19" s="46">
        <f t="shared" si="30"/>
        <v>397233.13334469259</v>
      </c>
      <c r="W19" s="73">
        <f t="shared" si="31"/>
        <v>397233.13334469259</v>
      </c>
      <c r="X19" s="69" t="s">
        <v>8</v>
      </c>
      <c r="Y19" s="25" t="s">
        <v>8</v>
      </c>
      <c r="Z19" s="30">
        <f t="shared" si="32"/>
        <v>0.35976238682439748</v>
      </c>
      <c r="AA19" s="28">
        <f t="shared" si="33"/>
        <v>4.9904945727975103E-2</v>
      </c>
      <c r="AB19" s="46">
        <f t="shared" si="34"/>
        <v>313343.90070534672</v>
      </c>
      <c r="AC19" s="73">
        <f t="shared" si="35"/>
        <v>313343.90070534672</v>
      </c>
      <c r="AD19" s="69" t="s">
        <v>8</v>
      </c>
      <c r="AE19" s="25" t="s">
        <v>8</v>
      </c>
      <c r="AF19" s="30">
        <f t="shared" si="36"/>
        <v>0.42620000794326574</v>
      </c>
      <c r="AG19" s="28">
        <f t="shared" si="37"/>
        <v>4.020465195942291E-2</v>
      </c>
      <c r="AH19" s="46">
        <f t="shared" si="38"/>
        <v>274414.39883758168</v>
      </c>
      <c r="AI19" s="73">
        <f t="shared" si="39"/>
        <v>274414.39883758168</v>
      </c>
      <c r="AJ19" s="69" t="s">
        <v>8</v>
      </c>
      <c r="AK19" s="25" t="s">
        <v>8</v>
      </c>
      <c r="AL19" s="30">
        <f t="shared" si="40"/>
        <v>0.48438349202734621</v>
      </c>
      <c r="AM19" s="28">
        <f t="shared" si="41"/>
        <v>3.3653037507821004E-2</v>
      </c>
      <c r="AN19" s="46">
        <f t="shared" si="42"/>
        <v>246475.96201377557</v>
      </c>
      <c r="AO19" s="73">
        <f t="shared" si="43"/>
        <v>246475.96201377557</v>
      </c>
      <c r="AP19" s="69" t="s">
        <v>8</v>
      </c>
      <c r="AQ19" s="25" t="s">
        <v>8</v>
      </c>
      <c r="AR19" s="30">
        <f t="shared" si="44"/>
        <v>0.53664325053012396</v>
      </c>
      <c r="AS19" s="28">
        <f t="shared" si="45"/>
        <v>2.7888040383238666E-2</v>
      </c>
      <c r="AT19" s="46">
        <f t="shared" si="46"/>
        <v>216778.47700320676</v>
      </c>
      <c r="AU19" s="73">
        <f t="shared" si="47"/>
        <v>216778.47700320676</v>
      </c>
      <c r="AV19" s="69" t="s">
        <v>8</v>
      </c>
      <c r="AW19" s="25" t="s">
        <v>8</v>
      </c>
      <c r="AX19" s="30">
        <f t="shared" si="48"/>
        <v>0.58260631631645143</v>
      </c>
      <c r="AY19" s="28">
        <f t="shared" si="49"/>
        <v>2.2756596944486729E-2</v>
      </c>
      <c r="AZ19" s="46">
        <f t="shared" si="50"/>
        <v>185865.06576100536</v>
      </c>
      <c r="BA19" s="73">
        <f t="shared" si="51"/>
        <v>185865.06576100536</v>
      </c>
      <c r="BB19" s="69" t="s">
        <v>8</v>
      </c>
      <c r="BC19" s="25" t="s">
        <v>8</v>
      </c>
      <c r="BD19" s="30">
        <f t="shared" si="52"/>
        <v>0.62201487921002141</v>
      </c>
      <c r="BE19" s="28">
        <f t="shared" si="53"/>
        <v>2.1315242931610578E-2</v>
      </c>
      <c r="BF19" s="46">
        <f t="shared" si="54"/>
        <v>187477.93061328487</v>
      </c>
      <c r="BG19" s="73">
        <f t="shared" si="55"/>
        <v>187477.93061328487</v>
      </c>
      <c r="BH19" s="69" t="s">
        <v>8</v>
      </c>
      <c r="BI19" s="25" t="s">
        <v>8</v>
      </c>
      <c r="BJ19" s="30">
        <f t="shared" si="56"/>
        <v>0.66176541430643465</v>
      </c>
      <c r="BK19" s="28">
        <f t="shared" si="57"/>
        <v>1.8517445635537588E-2</v>
      </c>
      <c r="BL19" s="46">
        <f t="shared" si="58"/>
        <v>172181.7888943408</v>
      </c>
      <c r="BM19" s="73">
        <f t="shared" si="59"/>
        <v>39410.38615710313</v>
      </c>
      <c r="BN19" s="69" t="s">
        <v>8</v>
      </c>
      <c r="BO19" s="25" t="s">
        <v>8</v>
      </c>
      <c r="BP19" s="30">
        <f t="shared" si="60"/>
        <v>0.6701215121840699</v>
      </c>
      <c r="BQ19" s="28">
        <f t="shared" si="61"/>
        <v>1.8176575272013995E-2</v>
      </c>
      <c r="BR19" s="46">
        <f t="shared" si="62"/>
        <v>171370.25936071607</v>
      </c>
      <c r="BS19" s="113">
        <f t="shared" si="63"/>
        <v>0</v>
      </c>
      <c r="BT19" s="69" t="s">
        <v>8</v>
      </c>
      <c r="BU19" s="25" t="s">
        <v>8</v>
      </c>
      <c r="BV19" s="30">
        <f t="shared" si="64"/>
        <v>0.6701215121840699</v>
      </c>
      <c r="BW19" s="28">
        <f t="shared" si="65"/>
        <v>1.8176575272013995E-2</v>
      </c>
      <c r="BX19" s="46">
        <f t="shared" si="66"/>
        <v>171370.25936071607</v>
      </c>
      <c r="BY19" s="113">
        <f t="shared" si="67"/>
        <v>0</v>
      </c>
      <c r="BZ19" s="69" t="s">
        <v>8</v>
      </c>
      <c r="CA19" s="25" t="s">
        <v>8</v>
      </c>
      <c r="CB19" s="30">
        <f t="shared" si="68"/>
        <v>0.6701215121840699</v>
      </c>
      <c r="CC19" s="28">
        <f t="shared" si="69"/>
        <v>1.8176575272013995E-2</v>
      </c>
      <c r="CD19" s="46">
        <f t="shared" si="70"/>
        <v>171370.25936071607</v>
      </c>
      <c r="CE19" s="113">
        <f t="shared" si="71"/>
        <v>0</v>
      </c>
      <c r="CF19" s="69" t="s">
        <v>8</v>
      </c>
      <c r="CG19" s="25" t="s">
        <v>8</v>
      </c>
      <c r="CH19" s="30">
        <f t="shared" si="72"/>
        <v>0.6701215121840699</v>
      </c>
      <c r="CI19" s="28">
        <f t="shared" si="73"/>
        <v>1.8176575272013995E-2</v>
      </c>
      <c r="CJ19" s="46">
        <f t="shared" si="74"/>
        <v>171370.25936071607</v>
      </c>
      <c r="CK19" s="113">
        <f t="shared" si="75"/>
        <v>0</v>
      </c>
      <c r="CL19" s="69" t="s">
        <v>8</v>
      </c>
      <c r="CM19" s="25" t="s">
        <v>8</v>
      </c>
      <c r="CN19" s="30">
        <f t="shared" si="76"/>
        <v>0.6701215121840699</v>
      </c>
      <c r="CO19" s="28">
        <f t="shared" si="77"/>
        <v>1.8176575272013995E-2</v>
      </c>
      <c r="CP19" s="46">
        <f t="shared" si="78"/>
        <v>171370.25936071607</v>
      </c>
      <c r="CQ19" s="113">
        <f t="shared" si="79"/>
        <v>0</v>
      </c>
      <c r="CR19" s="69" t="s">
        <v>8</v>
      </c>
      <c r="CS19" s="25" t="s">
        <v>8</v>
      </c>
      <c r="CT19" s="30">
        <f t="shared" si="80"/>
        <v>0.6701215121840699</v>
      </c>
      <c r="CU19" s="28">
        <f t="shared" si="81"/>
        <v>1.8176575272013995E-2</v>
      </c>
      <c r="CV19" s="46">
        <f t="shared" si="82"/>
        <v>171370.25936071607</v>
      </c>
      <c r="CW19" s="113">
        <f t="shared" si="83"/>
        <v>0</v>
      </c>
      <c r="CX19" s="69" t="s">
        <v>8</v>
      </c>
      <c r="CY19" s="25" t="s">
        <v>8</v>
      </c>
      <c r="CZ19" s="30">
        <f t="shared" si="84"/>
        <v>0.6701215121840699</v>
      </c>
      <c r="DA19" s="28">
        <f t="shared" si="85"/>
        <v>1.8176575272013995E-2</v>
      </c>
      <c r="DB19" s="46">
        <f t="shared" si="86"/>
        <v>171370.25936071607</v>
      </c>
      <c r="DC19" s="113">
        <f t="shared" si="87"/>
        <v>0</v>
      </c>
      <c r="DD19" s="69" t="s">
        <v>8</v>
      </c>
      <c r="DE19" s="25" t="s">
        <v>8</v>
      </c>
      <c r="DF19" s="30">
        <f t="shared" si="88"/>
        <v>0.6701215121840699</v>
      </c>
      <c r="DG19" s="28">
        <f t="shared" si="89"/>
        <v>1.8176575272013995E-2</v>
      </c>
      <c r="DH19" s="46">
        <f t="shared" si="90"/>
        <v>171370.25936071607</v>
      </c>
      <c r="DI19" s="113">
        <f t="shared" si="91"/>
        <v>0</v>
      </c>
      <c r="DJ19" s="69" t="s">
        <v>8</v>
      </c>
      <c r="DK19" s="25" t="s">
        <v>8</v>
      </c>
      <c r="DL19" s="30">
        <f t="shared" si="92"/>
        <v>0.6701215121840699</v>
      </c>
      <c r="DM19" s="28">
        <f t="shared" si="93"/>
        <v>1.8176575272013995E-2</v>
      </c>
      <c r="DN19" s="46">
        <f t="shared" si="94"/>
        <v>171370.25936071607</v>
      </c>
      <c r="DO19" s="113">
        <f t="shared" si="95"/>
        <v>0</v>
      </c>
      <c r="DP19" s="69" t="s">
        <v>8</v>
      </c>
      <c r="DQ19" s="25" t="s">
        <v>8</v>
      </c>
      <c r="DR19" s="30">
        <f t="shared" si="96"/>
        <v>0.6701215121840699</v>
      </c>
      <c r="DS19" s="28">
        <f t="shared" si="97"/>
        <v>1.8176575272013995E-2</v>
      </c>
      <c r="DT19" s="46">
        <f t="shared" si="98"/>
        <v>171370.25936071607</v>
      </c>
      <c r="DU19" s="113">
        <f t="shared" si="99"/>
        <v>0</v>
      </c>
      <c r="DV19" s="69" t="s">
        <v>8</v>
      </c>
      <c r="DW19" s="25" t="s">
        <v>8</v>
      </c>
      <c r="DX19" s="30">
        <f t="shared" si="100"/>
        <v>0.6701215121840699</v>
      </c>
      <c r="DY19" s="28">
        <f t="shared" si="101"/>
        <v>1.8176575272013995E-2</v>
      </c>
      <c r="DZ19" s="29">
        <f t="shared" si="102"/>
        <v>171370.25936071607</v>
      </c>
      <c r="EA19" s="73">
        <f t="shared" si="103"/>
        <v>0</v>
      </c>
      <c r="EB19" s="69" t="s">
        <v>8</v>
      </c>
      <c r="EC19" s="25" t="s">
        <v>8</v>
      </c>
      <c r="ED19" s="30">
        <f t="shared" si="104"/>
        <v>0.6701215121840699</v>
      </c>
      <c r="EE19" s="28">
        <f t="shared" si="105"/>
        <v>1.8176575272013995E-2</v>
      </c>
      <c r="EF19" s="29">
        <f t="shared" si="106"/>
        <v>171370.25936071607</v>
      </c>
      <c r="EG19" s="73">
        <f t="shared" si="107"/>
        <v>0</v>
      </c>
      <c r="EH19" s="69" t="s">
        <v>8</v>
      </c>
      <c r="EI19" s="25" t="s">
        <v>8</v>
      </c>
      <c r="EJ19" s="30">
        <f t="shared" si="108"/>
        <v>0.6701215121840699</v>
      </c>
      <c r="EK19" s="28">
        <f t="shared" si="109"/>
        <v>1.8176575272013995E-2</v>
      </c>
      <c r="EL19" s="29">
        <f t="shared" si="110"/>
        <v>171370.25936071607</v>
      </c>
      <c r="EM19" s="73">
        <f t="shared" si="111"/>
        <v>0</v>
      </c>
      <c r="EN19" s="69" t="s">
        <v>8</v>
      </c>
      <c r="EO19" s="25" t="s">
        <v>8</v>
      </c>
      <c r="EP19" s="30">
        <f t="shared" si="112"/>
        <v>0.6701215121840699</v>
      </c>
      <c r="EQ19" s="28">
        <f t="shared" si="113"/>
        <v>1.8176575272013995E-2</v>
      </c>
      <c r="ER19" s="29">
        <f t="shared" si="114"/>
        <v>171370.25936071607</v>
      </c>
      <c r="ES19" s="73">
        <f t="shared" si="115"/>
        <v>0</v>
      </c>
      <c r="ET19" s="69" t="s">
        <v>8</v>
      </c>
      <c r="EU19" s="25" t="s">
        <v>8</v>
      </c>
      <c r="EV19" s="30">
        <f t="shared" si="116"/>
        <v>0.6701215121840699</v>
      </c>
      <c r="EW19" s="28">
        <f t="shared" si="117"/>
        <v>1.8176575272013995E-2</v>
      </c>
      <c r="EX19" s="29">
        <f t="shared" si="118"/>
        <v>171370.25936071607</v>
      </c>
      <c r="EY19" s="73">
        <f t="shared" si="119"/>
        <v>0</v>
      </c>
      <c r="EZ19" s="69" t="s">
        <v>8</v>
      </c>
      <c r="FA19" s="25" t="s">
        <v>8</v>
      </c>
      <c r="FB19" s="30">
        <f t="shared" si="120"/>
        <v>0.6701215121840699</v>
      </c>
      <c r="FC19" s="28">
        <f t="shared" si="121"/>
        <v>1.8176575272013995E-2</v>
      </c>
      <c r="FD19" s="29">
        <f t="shared" si="122"/>
        <v>171370.25936071607</v>
      </c>
      <c r="FE19" s="73">
        <f t="shared" si="123"/>
        <v>0</v>
      </c>
      <c r="FF19" s="69" t="s">
        <v>8</v>
      </c>
      <c r="FG19" s="25" t="s">
        <v>8</v>
      </c>
      <c r="FH19" s="30">
        <f t="shared" si="124"/>
        <v>0.6701215121840699</v>
      </c>
      <c r="FI19" s="28">
        <f t="shared" si="125"/>
        <v>1.8176575272013995E-2</v>
      </c>
      <c r="FJ19" s="29">
        <f t="shared" si="126"/>
        <v>171370.25936071607</v>
      </c>
      <c r="FK19" s="73">
        <f t="shared" si="127"/>
        <v>0</v>
      </c>
      <c r="FL19" s="69" t="s">
        <v>8</v>
      </c>
      <c r="FM19" s="25" t="s">
        <v>8</v>
      </c>
      <c r="FN19" s="30">
        <f t="shared" si="128"/>
        <v>0.6701215121840699</v>
      </c>
      <c r="FO19" s="28">
        <f t="shared" si="129"/>
        <v>1.8176575272013995E-2</v>
      </c>
      <c r="FP19" s="29">
        <f t="shared" si="130"/>
        <v>171370.25936071607</v>
      </c>
      <c r="FQ19" s="73">
        <f t="shared" si="131"/>
        <v>0</v>
      </c>
      <c r="FR19" s="69" t="s">
        <v>8</v>
      </c>
      <c r="FS19" s="25" t="s">
        <v>8</v>
      </c>
      <c r="FT19" s="30">
        <f t="shared" si="132"/>
        <v>0.6701215121840699</v>
      </c>
      <c r="FU19" s="28">
        <f t="shared" si="133"/>
        <v>1.8176575272013995E-2</v>
      </c>
      <c r="FV19" s="29">
        <f t="shared" si="134"/>
        <v>171370.25936071607</v>
      </c>
      <c r="FW19" s="73">
        <f t="shared" si="135"/>
        <v>0</v>
      </c>
      <c r="FX19" s="69" t="s">
        <v>8</v>
      </c>
      <c r="FY19" s="25" t="s">
        <v>8</v>
      </c>
      <c r="FZ19" s="30">
        <f t="shared" si="136"/>
        <v>0.6701215121840699</v>
      </c>
      <c r="GA19" s="28">
        <f t="shared" si="137"/>
        <v>1.8176575272013995E-2</v>
      </c>
      <c r="GB19" s="29">
        <f t="shared" si="138"/>
        <v>171370.25936071607</v>
      </c>
      <c r="GC19" s="73">
        <f t="shared" si="139"/>
        <v>0</v>
      </c>
      <c r="GD19" s="69" t="s">
        <v>8</v>
      </c>
      <c r="GE19" s="25" t="s">
        <v>8</v>
      </c>
      <c r="GF19" s="30">
        <f t="shared" si="140"/>
        <v>0.6701215121840699</v>
      </c>
      <c r="GG19" s="28">
        <f t="shared" si="141"/>
        <v>1.8176575272013995E-2</v>
      </c>
      <c r="GH19" s="29">
        <f t="shared" si="142"/>
        <v>171370.25936071607</v>
      </c>
      <c r="GI19" s="113">
        <f t="shared" si="143"/>
        <v>0</v>
      </c>
      <c r="GJ19" s="142">
        <f t="shared" si="146"/>
        <v>2315124.0601796336</v>
      </c>
      <c r="GK19" s="238">
        <f t="shared" si="144"/>
        <v>2384566.9288622746</v>
      </c>
      <c r="GL19" s="196">
        <f t="shared" si="145"/>
        <v>0.67012151218406979</v>
      </c>
      <c r="GM19" s="86">
        <v>2384566.9300000002</v>
      </c>
    </row>
    <row r="20" spans="1:195" s="20" customFormat="1" ht="15.75" customHeight="1" x14ac:dyDescent="0.25">
      <c r="A20" s="159" t="s">
        <v>183</v>
      </c>
      <c r="B20" s="130" t="s">
        <v>8</v>
      </c>
      <c r="C20" s="130" t="s">
        <v>8</v>
      </c>
      <c r="D20" s="130" t="s">
        <v>8</v>
      </c>
      <c r="E20" s="130" t="s">
        <v>8</v>
      </c>
      <c r="F20" s="130" t="s">
        <v>8</v>
      </c>
      <c r="G20" s="95">
        <f>'Исходные данные'!C22</f>
        <v>1048</v>
      </c>
      <c r="H20" s="42">
        <f>'Исходные данные'!E22</f>
        <v>362686</v>
      </c>
      <c r="I20" s="27">
        <f>'Расчет КРП'!G18</f>
        <v>2.6020947934198229</v>
      </c>
      <c r="J20" s="102" t="s">
        <v>8</v>
      </c>
      <c r="K20" s="106">
        <f t="shared" si="22"/>
        <v>7.4620077933888654E-2</v>
      </c>
      <c r="L20" s="70">
        <f t="shared" si="23"/>
        <v>93302.726127445843</v>
      </c>
      <c r="M20" s="66">
        <f t="shared" si="24"/>
        <v>9.3816453573075914E-2</v>
      </c>
      <c r="N20" s="25" t="s">
        <v>8</v>
      </c>
      <c r="O20" s="28">
        <f t="shared" si="25"/>
        <v>0.17714066044430796</v>
      </c>
      <c r="P20" s="29">
        <f>IF(O20&gt;0,G20*I20*(($H$26+$L$26)/$G$26)*O20,0)</f>
        <v>903987.23367131781</v>
      </c>
      <c r="Q20" s="73">
        <f>IF(($F$26-P$26)&gt;0,P20,$F$26*P20/P$26)</f>
        <v>903987.23367131781</v>
      </c>
      <c r="R20" s="135" t="s">
        <v>8</v>
      </c>
      <c r="S20" s="25" t="s">
        <v>8</v>
      </c>
      <c r="T20" s="30">
        <f t="shared" si="28"/>
        <v>0.2798054297888497</v>
      </c>
      <c r="U20" s="28">
        <f t="shared" si="29"/>
        <v>6.5815911241186631E-2</v>
      </c>
      <c r="V20" s="46">
        <f t="shared" si="30"/>
        <v>384440.35047827312</v>
      </c>
      <c r="W20" s="73">
        <f t="shared" si="31"/>
        <v>384440.35047827312</v>
      </c>
      <c r="X20" s="69" t="s">
        <v>8</v>
      </c>
      <c r="Y20" s="25" t="s">
        <v>8</v>
      </c>
      <c r="Z20" s="30">
        <f t="shared" si="32"/>
        <v>0.35890131138786424</v>
      </c>
      <c r="AA20" s="28">
        <f t="shared" si="33"/>
        <v>5.0766021164508346E-2</v>
      </c>
      <c r="AB20" s="46">
        <f t="shared" si="34"/>
        <v>328487.39261419844</v>
      </c>
      <c r="AC20" s="73">
        <f t="shared" si="35"/>
        <v>328487.39261419844</v>
      </c>
      <c r="AD20" s="69" t="s">
        <v>8</v>
      </c>
      <c r="AE20" s="25" t="s">
        <v>8</v>
      </c>
      <c r="AF20" s="30">
        <f t="shared" si="36"/>
        <v>0.42648526786032631</v>
      </c>
      <c r="AG20" s="28">
        <f t="shared" si="37"/>
        <v>3.9919392042362334E-2</v>
      </c>
      <c r="AH20" s="46">
        <f t="shared" si="38"/>
        <v>280790.51199869887</v>
      </c>
      <c r="AI20" s="73">
        <f t="shared" si="39"/>
        <v>280790.51199869887</v>
      </c>
      <c r="AJ20" s="69" t="s">
        <v>8</v>
      </c>
      <c r="AK20" s="25" t="s">
        <v>8</v>
      </c>
      <c r="AL20" s="30">
        <f t="shared" si="40"/>
        <v>0.48425592867557526</v>
      </c>
      <c r="AM20" s="28">
        <f t="shared" si="41"/>
        <v>3.3780600859591947E-2</v>
      </c>
      <c r="AN20" s="46">
        <f t="shared" si="42"/>
        <v>254967.95023508175</v>
      </c>
      <c r="AO20" s="73">
        <f t="shared" si="43"/>
        <v>254967.95023508175</v>
      </c>
      <c r="AP20" s="69" t="s">
        <v>8</v>
      </c>
      <c r="AQ20" s="25" t="s">
        <v>8</v>
      </c>
      <c r="AR20" s="30">
        <f t="shared" si="44"/>
        <v>0.53671378014264504</v>
      </c>
      <c r="AS20" s="28">
        <f t="shared" si="45"/>
        <v>2.7817510770717591E-2</v>
      </c>
      <c r="AT20" s="46">
        <f t="shared" si="46"/>
        <v>222835.48408154445</v>
      </c>
      <c r="AU20" s="73">
        <f t="shared" si="47"/>
        <v>222835.48408154445</v>
      </c>
      <c r="AV20" s="69" t="s">
        <v>8</v>
      </c>
      <c r="AW20" s="25" t="s">
        <v>8</v>
      </c>
      <c r="AX20" s="30">
        <f t="shared" si="48"/>
        <v>0.5825606040856719</v>
      </c>
      <c r="AY20" s="28">
        <f t="shared" si="49"/>
        <v>2.2802309175266267E-2</v>
      </c>
      <c r="AZ20" s="46">
        <f t="shared" si="50"/>
        <v>191927.49883245237</v>
      </c>
      <c r="BA20" s="73">
        <f t="shared" si="51"/>
        <v>191927.49883245237</v>
      </c>
      <c r="BB20" s="69" t="s">
        <v>8</v>
      </c>
      <c r="BC20" s="25" t="s">
        <v>8</v>
      </c>
      <c r="BD20" s="30">
        <f t="shared" si="52"/>
        <v>0.62204832878564364</v>
      </c>
      <c r="BE20" s="28">
        <f t="shared" si="53"/>
        <v>2.1281793355988343E-2</v>
      </c>
      <c r="BF20" s="46">
        <f t="shared" si="54"/>
        <v>192901.67908510478</v>
      </c>
      <c r="BG20" s="73">
        <f t="shared" si="55"/>
        <v>192901.67908510478</v>
      </c>
      <c r="BH20" s="69" t="s">
        <v>8</v>
      </c>
      <c r="BI20" s="25" t="s">
        <v>8</v>
      </c>
      <c r="BJ20" s="30">
        <f t="shared" si="56"/>
        <v>0.66173648417876185</v>
      </c>
      <c r="BK20" s="28">
        <f t="shared" si="57"/>
        <v>1.8546375763210388E-2</v>
      </c>
      <c r="BL20" s="46">
        <f t="shared" si="58"/>
        <v>177718.69419984435</v>
      </c>
      <c r="BM20" s="73">
        <f t="shared" si="59"/>
        <v>40677.71865263849</v>
      </c>
      <c r="BN20" s="69" t="s">
        <v>8</v>
      </c>
      <c r="BO20" s="25" t="s">
        <v>8</v>
      </c>
      <c r="BP20" s="30">
        <f t="shared" si="60"/>
        <v>0.6701056369335765</v>
      </c>
      <c r="BQ20" s="28">
        <f t="shared" si="61"/>
        <v>1.8192450522507397E-2</v>
      </c>
      <c r="BR20" s="46">
        <f t="shared" si="62"/>
        <v>176759.40002871305</v>
      </c>
      <c r="BS20" s="113">
        <f t="shared" si="63"/>
        <v>0</v>
      </c>
      <c r="BT20" s="69" t="s">
        <v>8</v>
      </c>
      <c r="BU20" s="25" t="s">
        <v>8</v>
      </c>
      <c r="BV20" s="30">
        <f t="shared" si="64"/>
        <v>0.6701056369335765</v>
      </c>
      <c r="BW20" s="28">
        <f t="shared" si="65"/>
        <v>1.8192450522507397E-2</v>
      </c>
      <c r="BX20" s="46">
        <f t="shared" si="66"/>
        <v>176759.40002871305</v>
      </c>
      <c r="BY20" s="113">
        <f t="shared" si="67"/>
        <v>0</v>
      </c>
      <c r="BZ20" s="69" t="s">
        <v>8</v>
      </c>
      <c r="CA20" s="25" t="s">
        <v>8</v>
      </c>
      <c r="CB20" s="30">
        <f t="shared" si="68"/>
        <v>0.6701056369335765</v>
      </c>
      <c r="CC20" s="28">
        <f t="shared" si="69"/>
        <v>1.8192450522507397E-2</v>
      </c>
      <c r="CD20" s="46">
        <f t="shared" si="70"/>
        <v>176759.40002871305</v>
      </c>
      <c r="CE20" s="113">
        <f t="shared" si="71"/>
        <v>0</v>
      </c>
      <c r="CF20" s="69" t="s">
        <v>8</v>
      </c>
      <c r="CG20" s="25" t="s">
        <v>8</v>
      </c>
      <c r="CH20" s="30">
        <f t="shared" si="72"/>
        <v>0.6701056369335765</v>
      </c>
      <c r="CI20" s="28">
        <f t="shared" si="73"/>
        <v>1.8192450522507397E-2</v>
      </c>
      <c r="CJ20" s="46">
        <f t="shared" si="74"/>
        <v>176759.40002871305</v>
      </c>
      <c r="CK20" s="113">
        <f t="shared" si="75"/>
        <v>0</v>
      </c>
      <c r="CL20" s="69" t="s">
        <v>8</v>
      </c>
      <c r="CM20" s="25" t="s">
        <v>8</v>
      </c>
      <c r="CN20" s="30">
        <f t="shared" si="76"/>
        <v>0.6701056369335765</v>
      </c>
      <c r="CO20" s="28">
        <f t="shared" si="77"/>
        <v>1.8192450522507397E-2</v>
      </c>
      <c r="CP20" s="46">
        <f t="shared" si="78"/>
        <v>176759.40002871305</v>
      </c>
      <c r="CQ20" s="113">
        <f t="shared" si="79"/>
        <v>0</v>
      </c>
      <c r="CR20" s="69" t="s">
        <v>8</v>
      </c>
      <c r="CS20" s="25" t="s">
        <v>8</v>
      </c>
      <c r="CT20" s="30">
        <f t="shared" si="80"/>
        <v>0.6701056369335765</v>
      </c>
      <c r="CU20" s="28">
        <f t="shared" si="81"/>
        <v>1.8192450522507397E-2</v>
      </c>
      <c r="CV20" s="46">
        <f t="shared" si="82"/>
        <v>176759.40002871305</v>
      </c>
      <c r="CW20" s="113">
        <f t="shared" si="83"/>
        <v>0</v>
      </c>
      <c r="CX20" s="69" t="s">
        <v>8</v>
      </c>
      <c r="CY20" s="25" t="s">
        <v>8</v>
      </c>
      <c r="CZ20" s="30">
        <f t="shared" si="84"/>
        <v>0.6701056369335765</v>
      </c>
      <c r="DA20" s="28">
        <f t="shared" si="85"/>
        <v>1.8192450522507397E-2</v>
      </c>
      <c r="DB20" s="46">
        <f t="shared" si="86"/>
        <v>176759.40002871305</v>
      </c>
      <c r="DC20" s="113">
        <f t="shared" si="87"/>
        <v>0</v>
      </c>
      <c r="DD20" s="69" t="s">
        <v>8</v>
      </c>
      <c r="DE20" s="25" t="s">
        <v>8</v>
      </c>
      <c r="DF20" s="30">
        <f t="shared" si="88"/>
        <v>0.6701056369335765</v>
      </c>
      <c r="DG20" s="28">
        <f t="shared" si="89"/>
        <v>1.8192450522507397E-2</v>
      </c>
      <c r="DH20" s="46">
        <f t="shared" si="90"/>
        <v>176759.40002871305</v>
      </c>
      <c r="DI20" s="113">
        <f t="shared" si="91"/>
        <v>0</v>
      </c>
      <c r="DJ20" s="69" t="s">
        <v>8</v>
      </c>
      <c r="DK20" s="25" t="s">
        <v>8</v>
      </c>
      <c r="DL20" s="30">
        <f t="shared" si="92"/>
        <v>0.6701056369335765</v>
      </c>
      <c r="DM20" s="28">
        <f t="shared" si="93"/>
        <v>1.8192450522507397E-2</v>
      </c>
      <c r="DN20" s="46">
        <f t="shared" si="94"/>
        <v>176759.40002871305</v>
      </c>
      <c r="DO20" s="113">
        <f t="shared" si="95"/>
        <v>0</v>
      </c>
      <c r="DP20" s="69" t="s">
        <v>8</v>
      </c>
      <c r="DQ20" s="25" t="s">
        <v>8</v>
      </c>
      <c r="DR20" s="30">
        <f t="shared" si="96"/>
        <v>0.6701056369335765</v>
      </c>
      <c r="DS20" s="28">
        <f t="shared" si="97"/>
        <v>1.8192450522507397E-2</v>
      </c>
      <c r="DT20" s="46">
        <f t="shared" si="98"/>
        <v>176759.40002871305</v>
      </c>
      <c r="DU20" s="113">
        <f t="shared" si="99"/>
        <v>0</v>
      </c>
      <c r="DV20" s="69" t="s">
        <v>8</v>
      </c>
      <c r="DW20" s="25" t="s">
        <v>8</v>
      </c>
      <c r="DX20" s="30">
        <f t="shared" si="100"/>
        <v>0.6701056369335765</v>
      </c>
      <c r="DY20" s="28">
        <f t="shared" si="101"/>
        <v>1.8192450522507397E-2</v>
      </c>
      <c r="DZ20" s="29">
        <f t="shared" si="102"/>
        <v>176759.40002871305</v>
      </c>
      <c r="EA20" s="73">
        <f t="shared" si="103"/>
        <v>0</v>
      </c>
      <c r="EB20" s="69" t="s">
        <v>8</v>
      </c>
      <c r="EC20" s="25" t="s">
        <v>8</v>
      </c>
      <c r="ED20" s="30">
        <f t="shared" si="104"/>
        <v>0.6701056369335765</v>
      </c>
      <c r="EE20" s="28">
        <f t="shared" si="105"/>
        <v>1.8192450522507397E-2</v>
      </c>
      <c r="EF20" s="29">
        <f t="shared" si="106"/>
        <v>176759.40002871305</v>
      </c>
      <c r="EG20" s="73">
        <f t="shared" si="107"/>
        <v>0</v>
      </c>
      <c r="EH20" s="69" t="s">
        <v>8</v>
      </c>
      <c r="EI20" s="25" t="s">
        <v>8</v>
      </c>
      <c r="EJ20" s="30">
        <f t="shared" si="108"/>
        <v>0.6701056369335765</v>
      </c>
      <c r="EK20" s="28">
        <f t="shared" si="109"/>
        <v>1.8192450522507397E-2</v>
      </c>
      <c r="EL20" s="29">
        <f t="shared" si="110"/>
        <v>176759.40002871305</v>
      </c>
      <c r="EM20" s="73">
        <f t="shared" si="111"/>
        <v>0</v>
      </c>
      <c r="EN20" s="69" t="s">
        <v>8</v>
      </c>
      <c r="EO20" s="25" t="s">
        <v>8</v>
      </c>
      <c r="EP20" s="30">
        <f t="shared" si="112"/>
        <v>0.6701056369335765</v>
      </c>
      <c r="EQ20" s="28">
        <f t="shared" si="113"/>
        <v>1.8192450522507397E-2</v>
      </c>
      <c r="ER20" s="29">
        <f t="shared" si="114"/>
        <v>176759.40002871305</v>
      </c>
      <c r="ES20" s="73">
        <f t="shared" si="115"/>
        <v>0</v>
      </c>
      <c r="ET20" s="69" t="s">
        <v>8</v>
      </c>
      <c r="EU20" s="25" t="s">
        <v>8</v>
      </c>
      <c r="EV20" s="30">
        <f t="shared" si="116"/>
        <v>0.6701056369335765</v>
      </c>
      <c r="EW20" s="28">
        <f t="shared" si="117"/>
        <v>1.8192450522507397E-2</v>
      </c>
      <c r="EX20" s="29">
        <f t="shared" si="118"/>
        <v>176759.40002871305</v>
      </c>
      <c r="EY20" s="73">
        <f t="shared" si="119"/>
        <v>0</v>
      </c>
      <c r="EZ20" s="69" t="s">
        <v>8</v>
      </c>
      <c r="FA20" s="25" t="s">
        <v>8</v>
      </c>
      <c r="FB20" s="30">
        <f t="shared" si="120"/>
        <v>0.6701056369335765</v>
      </c>
      <c r="FC20" s="28">
        <f t="shared" si="121"/>
        <v>1.8192450522507397E-2</v>
      </c>
      <c r="FD20" s="29">
        <f t="shared" si="122"/>
        <v>176759.40002871305</v>
      </c>
      <c r="FE20" s="73">
        <f t="shared" si="123"/>
        <v>0</v>
      </c>
      <c r="FF20" s="69" t="s">
        <v>8</v>
      </c>
      <c r="FG20" s="25" t="s">
        <v>8</v>
      </c>
      <c r="FH20" s="30">
        <f t="shared" si="124"/>
        <v>0.6701056369335765</v>
      </c>
      <c r="FI20" s="28">
        <f t="shared" si="125"/>
        <v>1.8192450522507397E-2</v>
      </c>
      <c r="FJ20" s="29">
        <f t="shared" si="126"/>
        <v>176759.40002871305</v>
      </c>
      <c r="FK20" s="73">
        <f t="shared" si="127"/>
        <v>0</v>
      </c>
      <c r="FL20" s="69" t="s">
        <v>8</v>
      </c>
      <c r="FM20" s="25" t="s">
        <v>8</v>
      </c>
      <c r="FN20" s="30">
        <f t="shared" si="128"/>
        <v>0.6701056369335765</v>
      </c>
      <c r="FO20" s="28">
        <f t="shared" si="129"/>
        <v>1.8192450522507397E-2</v>
      </c>
      <c r="FP20" s="29">
        <f t="shared" si="130"/>
        <v>176759.40002871305</v>
      </c>
      <c r="FQ20" s="73">
        <f t="shared" si="131"/>
        <v>0</v>
      </c>
      <c r="FR20" s="69" t="s">
        <v>8</v>
      </c>
      <c r="FS20" s="25" t="s">
        <v>8</v>
      </c>
      <c r="FT20" s="30">
        <f t="shared" si="132"/>
        <v>0.6701056369335765</v>
      </c>
      <c r="FU20" s="28">
        <f t="shared" si="133"/>
        <v>1.8192450522507397E-2</v>
      </c>
      <c r="FV20" s="29">
        <f t="shared" si="134"/>
        <v>176759.40002871305</v>
      </c>
      <c r="FW20" s="73">
        <f t="shared" si="135"/>
        <v>0</v>
      </c>
      <c r="FX20" s="69" t="s">
        <v>8</v>
      </c>
      <c r="FY20" s="25" t="s">
        <v>8</v>
      </c>
      <c r="FZ20" s="30">
        <f t="shared" si="136"/>
        <v>0.6701056369335765</v>
      </c>
      <c r="GA20" s="28">
        <f t="shared" si="137"/>
        <v>1.8192450522507397E-2</v>
      </c>
      <c r="GB20" s="29">
        <f t="shared" si="138"/>
        <v>176759.40002871305</v>
      </c>
      <c r="GC20" s="73">
        <f t="shared" si="139"/>
        <v>0</v>
      </c>
      <c r="GD20" s="69" t="s">
        <v>8</v>
      </c>
      <c r="GE20" s="25" t="s">
        <v>8</v>
      </c>
      <c r="GF20" s="30">
        <f t="shared" si="140"/>
        <v>0.6701056369335765</v>
      </c>
      <c r="GG20" s="28">
        <f t="shared" si="141"/>
        <v>1.8192450522507397E-2</v>
      </c>
      <c r="GH20" s="29">
        <f t="shared" si="142"/>
        <v>176759.40002871305</v>
      </c>
      <c r="GI20" s="113">
        <f t="shared" si="143"/>
        <v>0</v>
      </c>
      <c r="GJ20" s="142">
        <f t="shared" si="146"/>
        <v>2801015.8196493103</v>
      </c>
      <c r="GK20" s="238">
        <f t="shared" si="144"/>
        <v>2894318.545776756</v>
      </c>
      <c r="GL20" s="196">
        <f t="shared" si="145"/>
        <v>0.6701056369335765</v>
      </c>
      <c r="GM20" s="86">
        <v>2894318.54</v>
      </c>
    </row>
    <row r="21" spans="1:195" s="20" customFormat="1" x14ac:dyDescent="0.25">
      <c r="A21" s="159" t="s">
        <v>184</v>
      </c>
      <c r="B21" s="131" t="s">
        <v>8</v>
      </c>
      <c r="C21" s="131" t="s">
        <v>8</v>
      </c>
      <c r="D21" s="131" t="s">
        <v>8</v>
      </c>
      <c r="E21" s="131" t="s">
        <v>8</v>
      </c>
      <c r="F21" s="131" t="s">
        <v>8</v>
      </c>
      <c r="G21" s="116">
        <f>'Исходные данные'!C23</f>
        <v>518</v>
      </c>
      <c r="H21" s="42">
        <f>'Исходные данные'!E23</f>
        <v>523393</v>
      </c>
      <c r="I21" s="118">
        <f>'Расчет КРП'!G19</f>
        <v>3.7412576063272414</v>
      </c>
      <c r="J21" s="119" t="s">
        <v>8</v>
      </c>
      <c r="K21" s="120">
        <f t="shared" si="22"/>
        <v>0.15152693557460409</v>
      </c>
      <c r="L21" s="121">
        <f t="shared" si="23"/>
        <v>46117.187150779529</v>
      </c>
      <c r="M21" s="122">
        <f t="shared" si="24"/>
        <v>0.16487827203932207</v>
      </c>
      <c r="N21" s="123" t="s">
        <v>8</v>
      </c>
      <c r="O21" s="124">
        <f t="shared" si="25"/>
        <v>0.10607884197806181</v>
      </c>
      <c r="P21" s="29">
        <f t="shared" si="26"/>
        <v>384712.04509556293</v>
      </c>
      <c r="Q21" s="125">
        <f t="shared" si="27"/>
        <v>384712.04509556293</v>
      </c>
      <c r="R21" s="136" t="s">
        <v>8</v>
      </c>
      <c r="S21" s="123" t="s">
        <v>8</v>
      </c>
      <c r="T21" s="126">
        <f t="shared" si="28"/>
        <v>0.27625583588134811</v>
      </c>
      <c r="U21" s="124">
        <f t="shared" si="29"/>
        <v>6.9365505148688222E-2</v>
      </c>
      <c r="V21" s="46">
        <f t="shared" si="30"/>
        <v>287941.72058114386</v>
      </c>
      <c r="W21" s="125">
        <f t="shared" si="31"/>
        <v>287941.72058114386</v>
      </c>
      <c r="X21" s="115" t="s">
        <v>8</v>
      </c>
      <c r="Y21" s="123" t="s">
        <v>8</v>
      </c>
      <c r="Z21" s="126">
        <f t="shared" si="32"/>
        <v>0.35961752880375941</v>
      </c>
      <c r="AA21" s="124">
        <f t="shared" si="33"/>
        <v>5.0049803748613175E-2</v>
      </c>
      <c r="AB21" s="46">
        <f t="shared" si="34"/>
        <v>230149.97631734138</v>
      </c>
      <c r="AC21" s="125">
        <f t="shared" si="35"/>
        <v>230149.97631734138</v>
      </c>
      <c r="AD21" s="115" t="s">
        <v>8</v>
      </c>
      <c r="AE21" s="123" t="s">
        <v>8</v>
      </c>
      <c r="AF21" s="126">
        <f t="shared" si="36"/>
        <v>0.4262479969871979</v>
      </c>
      <c r="AG21" s="124">
        <f t="shared" si="37"/>
        <v>4.0156662915490748E-2</v>
      </c>
      <c r="AH21" s="46">
        <f t="shared" si="38"/>
        <v>200733.15077466419</v>
      </c>
      <c r="AI21" s="125">
        <f t="shared" si="39"/>
        <v>200733.15077466419</v>
      </c>
      <c r="AJ21" s="115" t="s">
        <v>8</v>
      </c>
      <c r="AK21" s="123" t="s">
        <v>8</v>
      </c>
      <c r="AL21" s="126">
        <f t="shared" si="40"/>
        <v>0.4843620321483863</v>
      </c>
      <c r="AM21" s="124">
        <f t="shared" si="41"/>
        <v>3.3674497386780911E-2</v>
      </c>
      <c r="AN21" s="46">
        <f t="shared" si="42"/>
        <v>180626.85528204142</v>
      </c>
      <c r="AO21" s="125">
        <f t="shared" si="43"/>
        <v>180626.85528204142</v>
      </c>
      <c r="AP21" s="115" t="s">
        <v>8</v>
      </c>
      <c r="AQ21" s="123" t="s">
        <v>8</v>
      </c>
      <c r="AR21" s="126">
        <f t="shared" si="44"/>
        <v>0.53665511566949797</v>
      </c>
      <c r="AS21" s="124">
        <f t="shared" si="45"/>
        <v>2.7876175243864654E-2</v>
      </c>
      <c r="AT21" s="46">
        <f t="shared" si="46"/>
        <v>158694.63543276969</v>
      </c>
      <c r="AU21" s="125">
        <f t="shared" si="47"/>
        <v>158694.63543276969</v>
      </c>
      <c r="AV21" s="115" t="s">
        <v>8</v>
      </c>
      <c r="AW21" s="123" t="s">
        <v>8</v>
      </c>
      <c r="AX21" s="126">
        <f t="shared" si="48"/>
        <v>0.58259862618503144</v>
      </c>
      <c r="AY21" s="124">
        <f t="shared" si="49"/>
        <v>2.276428707590672E-2</v>
      </c>
      <c r="AZ21" s="46">
        <f t="shared" si="50"/>
        <v>136168.10816963072</v>
      </c>
      <c r="BA21" s="125">
        <f t="shared" si="51"/>
        <v>136168.10816963072</v>
      </c>
      <c r="BB21" s="115" t="s">
        <v>8</v>
      </c>
      <c r="BC21" s="123" t="s">
        <v>8</v>
      </c>
      <c r="BD21" s="126">
        <f t="shared" si="52"/>
        <v>0.62202050640493367</v>
      </c>
      <c r="BE21" s="124">
        <f t="shared" si="53"/>
        <v>2.1309615736698317E-2</v>
      </c>
      <c r="BF21" s="46">
        <f t="shared" si="54"/>
        <v>137267.07535716853</v>
      </c>
      <c r="BG21" s="125">
        <f t="shared" si="55"/>
        <v>137267.07535716853</v>
      </c>
      <c r="BH21" s="115" t="s">
        <v>8</v>
      </c>
      <c r="BI21" s="123" t="s">
        <v>8</v>
      </c>
      <c r="BJ21" s="126">
        <f t="shared" si="56"/>
        <v>0.66176054741457657</v>
      </c>
      <c r="BK21" s="124">
        <f t="shared" si="57"/>
        <v>1.8522312527395668E-2</v>
      </c>
      <c r="BL21" s="46">
        <f t="shared" si="58"/>
        <v>126134.02162716608</v>
      </c>
      <c r="BM21" s="125">
        <f t="shared" si="59"/>
        <v>28870.593875206258</v>
      </c>
      <c r="BN21" s="115" t="s">
        <v>8</v>
      </c>
      <c r="BO21" s="123" t="s">
        <v>8</v>
      </c>
      <c r="BP21" s="126">
        <f t="shared" si="60"/>
        <v>0.67011884150358592</v>
      </c>
      <c r="BQ21" s="124">
        <f t="shared" si="61"/>
        <v>1.817924595249798E-2</v>
      </c>
      <c r="BR21" s="46">
        <f t="shared" si="62"/>
        <v>125524.97914673189</v>
      </c>
      <c r="BS21" s="127">
        <f t="shared" si="63"/>
        <v>0</v>
      </c>
      <c r="BT21" s="115" t="s">
        <v>8</v>
      </c>
      <c r="BU21" s="123" t="s">
        <v>8</v>
      </c>
      <c r="BV21" s="126">
        <f t="shared" si="64"/>
        <v>0.67011884150358592</v>
      </c>
      <c r="BW21" s="124">
        <f t="shared" si="65"/>
        <v>1.817924595249798E-2</v>
      </c>
      <c r="BX21" s="46">
        <f t="shared" si="66"/>
        <v>125524.97914673189</v>
      </c>
      <c r="BY21" s="127">
        <f t="shared" si="67"/>
        <v>0</v>
      </c>
      <c r="BZ21" s="115" t="s">
        <v>8</v>
      </c>
      <c r="CA21" s="123" t="s">
        <v>8</v>
      </c>
      <c r="CB21" s="126">
        <f t="shared" si="68"/>
        <v>0.67011884150358592</v>
      </c>
      <c r="CC21" s="124">
        <f t="shared" si="69"/>
        <v>1.817924595249798E-2</v>
      </c>
      <c r="CD21" s="46">
        <f t="shared" si="70"/>
        <v>125524.97914673189</v>
      </c>
      <c r="CE21" s="127">
        <f t="shared" si="71"/>
        <v>0</v>
      </c>
      <c r="CF21" s="115" t="s">
        <v>8</v>
      </c>
      <c r="CG21" s="123" t="s">
        <v>8</v>
      </c>
      <c r="CH21" s="126">
        <f t="shared" si="72"/>
        <v>0.67011884150358592</v>
      </c>
      <c r="CI21" s="124">
        <f t="shared" si="73"/>
        <v>1.817924595249798E-2</v>
      </c>
      <c r="CJ21" s="46">
        <f t="shared" si="74"/>
        <v>125524.97914673189</v>
      </c>
      <c r="CK21" s="127">
        <f t="shared" si="75"/>
        <v>0</v>
      </c>
      <c r="CL21" s="115" t="s">
        <v>8</v>
      </c>
      <c r="CM21" s="123" t="s">
        <v>8</v>
      </c>
      <c r="CN21" s="126">
        <f t="shared" si="76"/>
        <v>0.67011884150358592</v>
      </c>
      <c r="CO21" s="124">
        <f t="shared" si="77"/>
        <v>1.817924595249798E-2</v>
      </c>
      <c r="CP21" s="46">
        <f t="shared" si="78"/>
        <v>125524.97914673189</v>
      </c>
      <c r="CQ21" s="127">
        <f t="shared" si="79"/>
        <v>0</v>
      </c>
      <c r="CR21" s="115" t="s">
        <v>8</v>
      </c>
      <c r="CS21" s="123" t="s">
        <v>8</v>
      </c>
      <c r="CT21" s="126">
        <f t="shared" si="80"/>
        <v>0.67011884150358592</v>
      </c>
      <c r="CU21" s="124">
        <f t="shared" si="81"/>
        <v>1.817924595249798E-2</v>
      </c>
      <c r="CV21" s="46">
        <f t="shared" si="82"/>
        <v>125524.97914673189</v>
      </c>
      <c r="CW21" s="127">
        <f t="shared" si="83"/>
        <v>0</v>
      </c>
      <c r="CX21" s="115" t="s">
        <v>8</v>
      </c>
      <c r="CY21" s="123" t="s">
        <v>8</v>
      </c>
      <c r="CZ21" s="126">
        <f t="shared" si="84"/>
        <v>0.67011884150358592</v>
      </c>
      <c r="DA21" s="124">
        <f t="shared" si="85"/>
        <v>1.817924595249798E-2</v>
      </c>
      <c r="DB21" s="46">
        <f t="shared" si="86"/>
        <v>125524.97914673189</v>
      </c>
      <c r="DC21" s="127">
        <f t="shared" si="87"/>
        <v>0</v>
      </c>
      <c r="DD21" s="115" t="s">
        <v>8</v>
      </c>
      <c r="DE21" s="123" t="s">
        <v>8</v>
      </c>
      <c r="DF21" s="126">
        <f t="shared" si="88"/>
        <v>0.67011884150358592</v>
      </c>
      <c r="DG21" s="124">
        <f t="shared" si="89"/>
        <v>1.817924595249798E-2</v>
      </c>
      <c r="DH21" s="46">
        <f t="shared" si="90"/>
        <v>125524.97914673189</v>
      </c>
      <c r="DI21" s="127">
        <f t="shared" si="91"/>
        <v>0</v>
      </c>
      <c r="DJ21" s="115" t="s">
        <v>8</v>
      </c>
      <c r="DK21" s="123" t="s">
        <v>8</v>
      </c>
      <c r="DL21" s="126">
        <f t="shared" si="92"/>
        <v>0.67011884150358592</v>
      </c>
      <c r="DM21" s="124">
        <f t="shared" si="93"/>
        <v>1.817924595249798E-2</v>
      </c>
      <c r="DN21" s="46">
        <f t="shared" si="94"/>
        <v>125524.97914673189</v>
      </c>
      <c r="DO21" s="127">
        <f t="shared" si="95"/>
        <v>0</v>
      </c>
      <c r="DP21" s="115" t="s">
        <v>8</v>
      </c>
      <c r="DQ21" s="123" t="s">
        <v>8</v>
      </c>
      <c r="DR21" s="126">
        <f t="shared" si="96"/>
        <v>0.67011884150358592</v>
      </c>
      <c r="DS21" s="124">
        <f t="shared" si="97"/>
        <v>1.817924595249798E-2</v>
      </c>
      <c r="DT21" s="46">
        <f t="shared" si="98"/>
        <v>125524.97914673189</v>
      </c>
      <c r="DU21" s="127">
        <f t="shared" si="99"/>
        <v>0</v>
      </c>
      <c r="DV21" s="115" t="s">
        <v>8</v>
      </c>
      <c r="DW21" s="123" t="s">
        <v>8</v>
      </c>
      <c r="DX21" s="30">
        <f t="shared" si="100"/>
        <v>0.67011884150358592</v>
      </c>
      <c r="DY21" s="124">
        <f t="shared" si="101"/>
        <v>1.817924595249798E-2</v>
      </c>
      <c r="DZ21" s="29">
        <f t="shared" si="102"/>
        <v>125524.97914673189</v>
      </c>
      <c r="EA21" s="125">
        <f t="shared" si="103"/>
        <v>0</v>
      </c>
      <c r="EB21" s="115" t="s">
        <v>8</v>
      </c>
      <c r="EC21" s="123" t="s">
        <v>8</v>
      </c>
      <c r="ED21" s="30">
        <f t="shared" si="104"/>
        <v>0.67011884150358592</v>
      </c>
      <c r="EE21" s="124">
        <f t="shared" si="105"/>
        <v>1.817924595249798E-2</v>
      </c>
      <c r="EF21" s="29">
        <f t="shared" si="106"/>
        <v>125524.97914673189</v>
      </c>
      <c r="EG21" s="125">
        <f t="shared" si="107"/>
        <v>0</v>
      </c>
      <c r="EH21" s="115" t="s">
        <v>8</v>
      </c>
      <c r="EI21" s="123" t="s">
        <v>8</v>
      </c>
      <c r="EJ21" s="30">
        <f t="shared" si="108"/>
        <v>0.67011884150358592</v>
      </c>
      <c r="EK21" s="124">
        <f t="shared" si="109"/>
        <v>1.817924595249798E-2</v>
      </c>
      <c r="EL21" s="29">
        <f t="shared" si="110"/>
        <v>125524.97914673189</v>
      </c>
      <c r="EM21" s="125">
        <f t="shared" si="111"/>
        <v>0</v>
      </c>
      <c r="EN21" s="115" t="s">
        <v>8</v>
      </c>
      <c r="EO21" s="123" t="s">
        <v>8</v>
      </c>
      <c r="EP21" s="30">
        <f t="shared" si="112"/>
        <v>0.67011884150358592</v>
      </c>
      <c r="EQ21" s="124">
        <f t="shared" si="113"/>
        <v>1.817924595249798E-2</v>
      </c>
      <c r="ER21" s="29">
        <f t="shared" si="114"/>
        <v>125524.97914673189</v>
      </c>
      <c r="ES21" s="125">
        <f t="shared" si="115"/>
        <v>0</v>
      </c>
      <c r="ET21" s="115" t="s">
        <v>8</v>
      </c>
      <c r="EU21" s="123" t="s">
        <v>8</v>
      </c>
      <c r="EV21" s="30">
        <f t="shared" si="116"/>
        <v>0.67011884150358592</v>
      </c>
      <c r="EW21" s="124">
        <f t="shared" si="117"/>
        <v>1.817924595249798E-2</v>
      </c>
      <c r="EX21" s="29">
        <f t="shared" si="118"/>
        <v>125524.97914673189</v>
      </c>
      <c r="EY21" s="125">
        <f t="shared" si="119"/>
        <v>0</v>
      </c>
      <c r="EZ21" s="115" t="s">
        <v>8</v>
      </c>
      <c r="FA21" s="123" t="s">
        <v>8</v>
      </c>
      <c r="FB21" s="30">
        <f t="shared" si="120"/>
        <v>0.67011884150358592</v>
      </c>
      <c r="FC21" s="124">
        <f t="shared" si="121"/>
        <v>1.817924595249798E-2</v>
      </c>
      <c r="FD21" s="29">
        <f t="shared" si="122"/>
        <v>125524.97914673189</v>
      </c>
      <c r="FE21" s="125">
        <f t="shared" si="123"/>
        <v>0</v>
      </c>
      <c r="FF21" s="115" t="s">
        <v>8</v>
      </c>
      <c r="FG21" s="123" t="s">
        <v>8</v>
      </c>
      <c r="FH21" s="30">
        <f t="shared" si="124"/>
        <v>0.67011884150358592</v>
      </c>
      <c r="FI21" s="124">
        <f t="shared" si="125"/>
        <v>1.817924595249798E-2</v>
      </c>
      <c r="FJ21" s="29">
        <f t="shared" si="126"/>
        <v>125524.97914673189</v>
      </c>
      <c r="FK21" s="125">
        <f t="shared" si="127"/>
        <v>0</v>
      </c>
      <c r="FL21" s="115" t="s">
        <v>8</v>
      </c>
      <c r="FM21" s="123" t="s">
        <v>8</v>
      </c>
      <c r="FN21" s="30">
        <f t="shared" si="128"/>
        <v>0.67011884150358592</v>
      </c>
      <c r="FO21" s="124">
        <f t="shared" si="129"/>
        <v>1.817924595249798E-2</v>
      </c>
      <c r="FP21" s="29">
        <f t="shared" si="130"/>
        <v>125524.97914673189</v>
      </c>
      <c r="FQ21" s="125">
        <f t="shared" si="131"/>
        <v>0</v>
      </c>
      <c r="FR21" s="115" t="s">
        <v>8</v>
      </c>
      <c r="FS21" s="123" t="s">
        <v>8</v>
      </c>
      <c r="FT21" s="30">
        <f t="shared" si="132"/>
        <v>0.67011884150358592</v>
      </c>
      <c r="FU21" s="124">
        <f t="shared" si="133"/>
        <v>1.817924595249798E-2</v>
      </c>
      <c r="FV21" s="29">
        <f t="shared" si="134"/>
        <v>125524.97914673189</v>
      </c>
      <c r="FW21" s="125">
        <f t="shared" si="135"/>
        <v>0</v>
      </c>
      <c r="FX21" s="115" t="s">
        <v>8</v>
      </c>
      <c r="FY21" s="123" t="s">
        <v>8</v>
      </c>
      <c r="FZ21" s="30">
        <f t="shared" si="136"/>
        <v>0.67011884150358592</v>
      </c>
      <c r="GA21" s="124">
        <f t="shared" si="137"/>
        <v>1.817924595249798E-2</v>
      </c>
      <c r="GB21" s="29">
        <f t="shared" si="138"/>
        <v>125524.97914673189</v>
      </c>
      <c r="GC21" s="125">
        <f t="shared" si="139"/>
        <v>0</v>
      </c>
      <c r="GD21" s="115" t="s">
        <v>8</v>
      </c>
      <c r="GE21" s="123" t="s">
        <v>8</v>
      </c>
      <c r="GF21" s="30">
        <f t="shared" si="140"/>
        <v>0.67011884150358592</v>
      </c>
      <c r="GG21" s="124">
        <f t="shared" si="141"/>
        <v>1.817924595249798E-2</v>
      </c>
      <c r="GH21" s="29">
        <f t="shared" si="142"/>
        <v>125524.97914673189</v>
      </c>
      <c r="GI21" s="127">
        <f t="shared" si="143"/>
        <v>0</v>
      </c>
      <c r="GJ21" s="142">
        <f t="shared" si="146"/>
        <v>1745164.1608855291</v>
      </c>
      <c r="GK21" s="238">
        <f t="shared" si="144"/>
        <v>1791281.3480363088</v>
      </c>
      <c r="GL21" s="196">
        <f t="shared" si="145"/>
        <v>0.67011884150358614</v>
      </c>
      <c r="GM21" s="86">
        <v>1791281.35</v>
      </c>
    </row>
    <row r="22" spans="1:195" s="20" customFormat="1" ht="31.5" x14ac:dyDescent="0.25">
      <c r="A22" s="159" t="s">
        <v>185</v>
      </c>
      <c r="B22" s="131" t="s">
        <v>8</v>
      </c>
      <c r="C22" s="131" t="s">
        <v>8</v>
      </c>
      <c r="D22" s="131" t="s">
        <v>8</v>
      </c>
      <c r="E22" s="131" t="s">
        <v>8</v>
      </c>
      <c r="F22" s="131" t="s">
        <v>8</v>
      </c>
      <c r="G22" s="116">
        <f>'Исходные данные'!C24</f>
        <v>580</v>
      </c>
      <c r="H22" s="42">
        <f>'Исходные данные'!E24</f>
        <v>1692501</v>
      </c>
      <c r="I22" s="118">
        <f>'Расчет КРП'!G20</f>
        <v>4.0063131313131315</v>
      </c>
      <c r="J22" s="119" t="s">
        <v>8</v>
      </c>
      <c r="K22" s="120">
        <f t="shared" si="22"/>
        <v>0.40866303193392023</v>
      </c>
      <c r="L22" s="121">
        <f t="shared" si="23"/>
        <v>51637.004917861253</v>
      </c>
      <c r="M22" s="122">
        <f t="shared" si="24"/>
        <v>0.42113105114910521</v>
      </c>
      <c r="N22" s="123" t="s">
        <v>8</v>
      </c>
      <c r="O22" s="124">
        <f t="shared" si="25"/>
        <v>-0.15017393713172134</v>
      </c>
      <c r="P22" s="29">
        <f t="shared" si="26"/>
        <v>0</v>
      </c>
      <c r="Q22" s="125">
        <f t="shared" si="27"/>
        <v>0</v>
      </c>
      <c r="R22" s="136" t="s">
        <v>8</v>
      </c>
      <c r="S22" s="123" t="s">
        <v>8</v>
      </c>
      <c r="T22" s="126">
        <f t="shared" si="28"/>
        <v>0.42113105114910521</v>
      </c>
      <c r="U22" s="124">
        <f t="shared" si="29"/>
        <v>-7.5509710119068874E-2</v>
      </c>
      <c r="V22" s="46">
        <f t="shared" si="30"/>
        <v>0</v>
      </c>
      <c r="W22" s="125">
        <f t="shared" si="31"/>
        <v>0</v>
      </c>
      <c r="X22" s="115" t="s">
        <v>8</v>
      </c>
      <c r="Y22" s="123" t="s">
        <v>8</v>
      </c>
      <c r="Z22" s="126">
        <f t="shared" si="32"/>
        <v>0.42113105114910521</v>
      </c>
      <c r="AA22" s="124">
        <f t="shared" si="33"/>
        <v>-1.1463718596732619E-2</v>
      </c>
      <c r="AB22" s="46">
        <f t="shared" si="34"/>
        <v>0</v>
      </c>
      <c r="AC22" s="125">
        <f t="shared" si="35"/>
        <v>0</v>
      </c>
      <c r="AD22" s="115" t="s">
        <v>8</v>
      </c>
      <c r="AE22" s="123" t="s">
        <v>8</v>
      </c>
      <c r="AF22" s="126">
        <f t="shared" si="36"/>
        <v>0.42113105114910521</v>
      </c>
      <c r="AG22" s="124">
        <f t="shared" si="37"/>
        <v>4.5273608753583439E-2</v>
      </c>
      <c r="AH22" s="46">
        <f t="shared" si="38"/>
        <v>271351.42797785404</v>
      </c>
      <c r="AI22" s="125">
        <f t="shared" si="39"/>
        <v>271351.42797785404</v>
      </c>
      <c r="AJ22" s="115" t="s">
        <v>8</v>
      </c>
      <c r="AK22" s="123" t="s">
        <v>8</v>
      </c>
      <c r="AL22" s="126">
        <f t="shared" si="40"/>
        <v>0.48665024273423796</v>
      </c>
      <c r="AM22" s="124">
        <f t="shared" si="41"/>
        <v>3.1386286800929253E-2</v>
      </c>
      <c r="AN22" s="46">
        <f t="shared" si="42"/>
        <v>201858.31748225816</v>
      </c>
      <c r="AO22" s="125">
        <f t="shared" si="43"/>
        <v>201858.31748225816</v>
      </c>
      <c r="AP22" s="115" t="s">
        <v>8</v>
      </c>
      <c r="AQ22" s="123" t="s">
        <v>8</v>
      </c>
      <c r="AR22" s="126">
        <f t="shared" si="44"/>
        <v>0.5353899669904596</v>
      </c>
      <c r="AS22" s="124">
        <f t="shared" si="45"/>
        <v>2.9141323922903029E-2</v>
      </c>
      <c r="AT22" s="46">
        <f t="shared" si="46"/>
        <v>198913.31252096809</v>
      </c>
      <c r="AU22" s="125">
        <f t="shared" si="47"/>
        <v>198913.31252096809</v>
      </c>
      <c r="AV22" s="115" t="s">
        <v>8</v>
      </c>
      <c r="AW22" s="123" t="s">
        <v>8</v>
      </c>
      <c r="AX22" s="126">
        <f t="shared" si="48"/>
        <v>0.58341860472056328</v>
      </c>
      <c r="AY22" s="124">
        <f t="shared" si="49"/>
        <v>2.1944308540374879E-2</v>
      </c>
      <c r="AZ22" s="46">
        <f t="shared" si="50"/>
        <v>157386.96560697869</v>
      </c>
      <c r="BA22" s="125">
        <f t="shared" si="51"/>
        <v>157386.96560697869</v>
      </c>
      <c r="BB22" s="115" t="s">
        <v>8</v>
      </c>
      <c r="BC22" s="123" t="s">
        <v>8</v>
      </c>
      <c r="BD22" s="126">
        <f t="shared" si="52"/>
        <v>0.62142049337636185</v>
      </c>
      <c r="BE22" s="124">
        <f t="shared" si="53"/>
        <v>2.1909628765270139E-2</v>
      </c>
      <c r="BF22" s="46">
        <f t="shared" si="54"/>
        <v>169219.84491011815</v>
      </c>
      <c r="BG22" s="125">
        <f t="shared" si="55"/>
        <v>169219.84491011815</v>
      </c>
      <c r="BH22" s="115" t="s">
        <v>8</v>
      </c>
      <c r="BI22" s="123" t="s">
        <v>8</v>
      </c>
      <c r="BJ22" s="126">
        <f t="shared" si="56"/>
        <v>0.66227949132339781</v>
      </c>
      <c r="BK22" s="124">
        <f t="shared" si="57"/>
        <v>1.8003368618574433E-2</v>
      </c>
      <c r="BL22" s="46">
        <f t="shared" si="58"/>
        <v>146999.65665401326</v>
      </c>
      <c r="BM22" s="125">
        <f t="shared" si="59"/>
        <v>33646.492296878729</v>
      </c>
      <c r="BN22" s="115" t="s">
        <v>8</v>
      </c>
      <c r="BO22" s="123" t="s">
        <v>8</v>
      </c>
      <c r="BP22" s="126">
        <f t="shared" si="60"/>
        <v>0.67040360915611041</v>
      </c>
      <c r="BQ22" s="124">
        <f t="shared" si="61"/>
        <v>1.7894478299973482E-2</v>
      </c>
      <c r="BR22" s="46">
        <f t="shared" si="62"/>
        <v>148149.04129628438</v>
      </c>
      <c r="BS22" s="127">
        <f t="shared" si="63"/>
        <v>0</v>
      </c>
      <c r="BT22" s="115" t="s">
        <v>8</v>
      </c>
      <c r="BU22" s="123" t="s">
        <v>8</v>
      </c>
      <c r="BV22" s="126">
        <f t="shared" si="64"/>
        <v>0.67040360915611041</v>
      </c>
      <c r="BW22" s="124">
        <f t="shared" si="65"/>
        <v>1.7894478299973482E-2</v>
      </c>
      <c r="BX22" s="46">
        <f t="shared" si="66"/>
        <v>148149.04129628438</v>
      </c>
      <c r="BY22" s="127">
        <f t="shared" si="67"/>
        <v>0</v>
      </c>
      <c r="BZ22" s="115" t="s">
        <v>8</v>
      </c>
      <c r="CA22" s="123" t="s">
        <v>8</v>
      </c>
      <c r="CB22" s="126">
        <f t="shared" si="68"/>
        <v>0.67040360915611041</v>
      </c>
      <c r="CC22" s="124">
        <f t="shared" si="69"/>
        <v>1.7894478299973482E-2</v>
      </c>
      <c r="CD22" s="46">
        <f t="shared" si="70"/>
        <v>148149.04129628438</v>
      </c>
      <c r="CE22" s="127">
        <f t="shared" si="71"/>
        <v>0</v>
      </c>
      <c r="CF22" s="115" t="s">
        <v>8</v>
      </c>
      <c r="CG22" s="123" t="s">
        <v>8</v>
      </c>
      <c r="CH22" s="126">
        <f t="shared" si="72"/>
        <v>0.67040360915611041</v>
      </c>
      <c r="CI22" s="124">
        <f t="shared" si="73"/>
        <v>1.7894478299973482E-2</v>
      </c>
      <c r="CJ22" s="46">
        <f t="shared" si="74"/>
        <v>148149.04129628438</v>
      </c>
      <c r="CK22" s="127">
        <f t="shared" si="75"/>
        <v>0</v>
      </c>
      <c r="CL22" s="115" t="s">
        <v>8</v>
      </c>
      <c r="CM22" s="123" t="s">
        <v>8</v>
      </c>
      <c r="CN22" s="126">
        <f t="shared" si="76"/>
        <v>0.67040360915611041</v>
      </c>
      <c r="CO22" s="124">
        <f t="shared" si="77"/>
        <v>1.7894478299973482E-2</v>
      </c>
      <c r="CP22" s="46">
        <f t="shared" si="78"/>
        <v>148149.04129628438</v>
      </c>
      <c r="CQ22" s="127">
        <f t="shared" si="79"/>
        <v>0</v>
      </c>
      <c r="CR22" s="115" t="s">
        <v>8</v>
      </c>
      <c r="CS22" s="123" t="s">
        <v>8</v>
      </c>
      <c r="CT22" s="126">
        <f t="shared" si="80"/>
        <v>0.67040360915611041</v>
      </c>
      <c r="CU22" s="124">
        <f t="shared" si="81"/>
        <v>1.7894478299973482E-2</v>
      </c>
      <c r="CV22" s="46">
        <f t="shared" si="82"/>
        <v>148149.04129628438</v>
      </c>
      <c r="CW22" s="127">
        <f t="shared" si="83"/>
        <v>0</v>
      </c>
      <c r="CX22" s="115" t="s">
        <v>8</v>
      </c>
      <c r="CY22" s="123" t="s">
        <v>8</v>
      </c>
      <c r="CZ22" s="126">
        <f t="shared" si="84"/>
        <v>0.67040360915611041</v>
      </c>
      <c r="DA22" s="124">
        <f t="shared" si="85"/>
        <v>1.7894478299973482E-2</v>
      </c>
      <c r="DB22" s="46">
        <f t="shared" si="86"/>
        <v>148149.04129628438</v>
      </c>
      <c r="DC22" s="127">
        <f t="shared" si="87"/>
        <v>0</v>
      </c>
      <c r="DD22" s="115" t="s">
        <v>8</v>
      </c>
      <c r="DE22" s="123" t="s">
        <v>8</v>
      </c>
      <c r="DF22" s="126">
        <f t="shared" si="88"/>
        <v>0.67040360915611041</v>
      </c>
      <c r="DG22" s="124">
        <f t="shared" si="89"/>
        <v>1.7894478299973482E-2</v>
      </c>
      <c r="DH22" s="46">
        <f t="shared" si="90"/>
        <v>148149.04129628438</v>
      </c>
      <c r="DI22" s="127">
        <f t="shared" si="91"/>
        <v>0</v>
      </c>
      <c r="DJ22" s="115" t="s">
        <v>8</v>
      </c>
      <c r="DK22" s="123" t="s">
        <v>8</v>
      </c>
      <c r="DL22" s="126">
        <f t="shared" si="92"/>
        <v>0.67040360915611041</v>
      </c>
      <c r="DM22" s="124">
        <f t="shared" si="93"/>
        <v>1.7894478299973482E-2</v>
      </c>
      <c r="DN22" s="46">
        <f t="shared" si="94"/>
        <v>148149.04129628438</v>
      </c>
      <c r="DO22" s="127">
        <f t="shared" si="95"/>
        <v>0</v>
      </c>
      <c r="DP22" s="115" t="s">
        <v>8</v>
      </c>
      <c r="DQ22" s="123" t="s">
        <v>8</v>
      </c>
      <c r="DR22" s="126">
        <f t="shared" si="96"/>
        <v>0.67040360915611041</v>
      </c>
      <c r="DS22" s="124">
        <f t="shared" si="97"/>
        <v>1.7894478299973482E-2</v>
      </c>
      <c r="DT22" s="46">
        <f t="shared" si="98"/>
        <v>148149.04129628438</v>
      </c>
      <c r="DU22" s="127">
        <f t="shared" si="99"/>
        <v>0</v>
      </c>
      <c r="DV22" s="115" t="s">
        <v>8</v>
      </c>
      <c r="DW22" s="123" t="s">
        <v>8</v>
      </c>
      <c r="DX22" s="30">
        <f t="shared" si="100"/>
        <v>0.67040360915611041</v>
      </c>
      <c r="DY22" s="124">
        <f t="shared" si="101"/>
        <v>1.7894478299973482E-2</v>
      </c>
      <c r="DZ22" s="29">
        <f t="shared" si="102"/>
        <v>148149.04129628438</v>
      </c>
      <c r="EA22" s="125">
        <f t="shared" si="103"/>
        <v>0</v>
      </c>
      <c r="EB22" s="115" t="s">
        <v>8</v>
      </c>
      <c r="EC22" s="123" t="s">
        <v>8</v>
      </c>
      <c r="ED22" s="30">
        <f t="shared" si="104"/>
        <v>0.67040360915611041</v>
      </c>
      <c r="EE22" s="124">
        <f t="shared" si="105"/>
        <v>1.7894478299973482E-2</v>
      </c>
      <c r="EF22" s="29">
        <f t="shared" si="106"/>
        <v>148149.04129628438</v>
      </c>
      <c r="EG22" s="125">
        <f t="shared" si="107"/>
        <v>0</v>
      </c>
      <c r="EH22" s="115" t="s">
        <v>8</v>
      </c>
      <c r="EI22" s="123" t="s">
        <v>8</v>
      </c>
      <c r="EJ22" s="30">
        <f t="shared" si="108"/>
        <v>0.67040360915611041</v>
      </c>
      <c r="EK22" s="124">
        <f t="shared" si="109"/>
        <v>1.7894478299973482E-2</v>
      </c>
      <c r="EL22" s="29">
        <f t="shared" si="110"/>
        <v>148149.04129628438</v>
      </c>
      <c r="EM22" s="125">
        <f t="shared" si="111"/>
        <v>0</v>
      </c>
      <c r="EN22" s="115" t="s">
        <v>8</v>
      </c>
      <c r="EO22" s="123" t="s">
        <v>8</v>
      </c>
      <c r="EP22" s="30">
        <f t="shared" si="112"/>
        <v>0.67040360915611041</v>
      </c>
      <c r="EQ22" s="124">
        <f t="shared" si="113"/>
        <v>1.7894478299973482E-2</v>
      </c>
      <c r="ER22" s="29">
        <f t="shared" si="114"/>
        <v>148149.04129628438</v>
      </c>
      <c r="ES22" s="125">
        <f t="shared" si="115"/>
        <v>0</v>
      </c>
      <c r="ET22" s="115" t="s">
        <v>8</v>
      </c>
      <c r="EU22" s="123" t="s">
        <v>8</v>
      </c>
      <c r="EV22" s="30">
        <f t="shared" si="116"/>
        <v>0.67040360915611041</v>
      </c>
      <c r="EW22" s="124">
        <f t="shared" si="117"/>
        <v>1.7894478299973482E-2</v>
      </c>
      <c r="EX22" s="29">
        <f t="shared" si="118"/>
        <v>148149.04129628438</v>
      </c>
      <c r="EY22" s="125">
        <f t="shared" si="119"/>
        <v>0</v>
      </c>
      <c r="EZ22" s="115" t="s">
        <v>8</v>
      </c>
      <c r="FA22" s="123" t="s">
        <v>8</v>
      </c>
      <c r="FB22" s="30">
        <f t="shared" si="120"/>
        <v>0.67040360915611041</v>
      </c>
      <c r="FC22" s="124">
        <f t="shared" si="121"/>
        <v>1.7894478299973482E-2</v>
      </c>
      <c r="FD22" s="29">
        <f t="shared" si="122"/>
        <v>148149.04129628438</v>
      </c>
      <c r="FE22" s="125">
        <f t="shared" si="123"/>
        <v>0</v>
      </c>
      <c r="FF22" s="115" t="s">
        <v>8</v>
      </c>
      <c r="FG22" s="123" t="s">
        <v>8</v>
      </c>
      <c r="FH22" s="30">
        <f t="shared" si="124"/>
        <v>0.67040360915611041</v>
      </c>
      <c r="FI22" s="124">
        <f t="shared" si="125"/>
        <v>1.7894478299973482E-2</v>
      </c>
      <c r="FJ22" s="29">
        <f t="shared" si="126"/>
        <v>148149.04129628438</v>
      </c>
      <c r="FK22" s="125">
        <f t="shared" si="127"/>
        <v>0</v>
      </c>
      <c r="FL22" s="115" t="s">
        <v>8</v>
      </c>
      <c r="FM22" s="123" t="s">
        <v>8</v>
      </c>
      <c r="FN22" s="30">
        <f t="shared" si="128"/>
        <v>0.67040360915611041</v>
      </c>
      <c r="FO22" s="124">
        <f t="shared" si="129"/>
        <v>1.7894478299973482E-2</v>
      </c>
      <c r="FP22" s="29">
        <f t="shared" si="130"/>
        <v>148149.04129628438</v>
      </c>
      <c r="FQ22" s="125">
        <f t="shared" si="131"/>
        <v>0</v>
      </c>
      <c r="FR22" s="115" t="s">
        <v>8</v>
      </c>
      <c r="FS22" s="123" t="s">
        <v>8</v>
      </c>
      <c r="FT22" s="30">
        <f t="shared" si="132"/>
        <v>0.67040360915611041</v>
      </c>
      <c r="FU22" s="124">
        <f t="shared" si="133"/>
        <v>1.7894478299973482E-2</v>
      </c>
      <c r="FV22" s="29">
        <f t="shared" si="134"/>
        <v>148149.04129628438</v>
      </c>
      <c r="FW22" s="125">
        <f t="shared" si="135"/>
        <v>0</v>
      </c>
      <c r="FX22" s="115" t="s">
        <v>8</v>
      </c>
      <c r="FY22" s="123" t="s">
        <v>8</v>
      </c>
      <c r="FZ22" s="30">
        <f t="shared" si="136"/>
        <v>0.67040360915611041</v>
      </c>
      <c r="GA22" s="124">
        <f t="shared" si="137"/>
        <v>1.7894478299973482E-2</v>
      </c>
      <c r="GB22" s="29">
        <f t="shared" si="138"/>
        <v>148149.04129628438</v>
      </c>
      <c r="GC22" s="125">
        <f t="shared" si="139"/>
        <v>0</v>
      </c>
      <c r="GD22" s="115" t="s">
        <v>8</v>
      </c>
      <c r="GE22" s="123" t="s">
        <v>8</v>
      </c>
      <c r="GF22" s="30">
        <f t="shared" si="140"/>
        <v>0.67040360915611041</v>
      </c>
      <c r="GG22" s="124">
        <f t="shared" si="141"/>
        <v>1.7894478299973482E-2</v>
      </c>
      <c r="GH22" s="29">
        <f t="shared" si="142"/>
        <v>148149.04129628438</v>
      </c>
      <c r="GI22" s="127">
        <f t="shared" si="143"/>
        <v>0</v>
      </c>
      <c r="GJ22" s="142">
        <f t="shared" si="146"/>
        <v>1032376.3607950559</v>
      </c>
      <c r="GK22" s="238">
        <f t="shared" si="144"/>
        <v>1084013.3657129172</v>
      </c>
      <c r="GL22" s="196">
        <f t="shared" si="145"/>
        <v>0.67040360915611041</v>
      </c>
      <c r="GM22" s="86">
        <v>1084013.3700000001</v>
      </c>
    </row>
    <row r="23" spans="1:195" s="20" customFormat="1" x14ac:dyDescent="0.25">
      <c r="A23" s="159" t="s">
        <v>186</v>
      </c>
      <c r="B23" s="131" t="s">
        <v>8</v>
      </c>
      <c r="C23" s="131" t="s">
        <v>8</v>
      </c>
      <c r="D23" s="131" t="s">
        <v>8</v>
      </c>
      <c r="E23" s="131" t="s">
        <v>8</v>
      </c>
      <c r="F23" s="131" t="s">
        <v>8</v>
      </c>
      <c r="G23" s="116">
        <f>'Исходные данные'!C25</f>
        <v>435</v>
      </c>
      <c r="H23" s="42">
        <f>'Исходные данные'!E25</f>
        <v>475899</v>
      </c>
      <c r="I23" s="118">
        <f>'Расчет КРП'!G21</f>
        <v>4.1130734430557894</v>
      </c>
      <c r="J23" s="119" t="s">
        <v>8</v>
      </c>
      <c r="K23" s="120">
        <f t="shared" si="22"/>
        <v>0.14923420412843222</v>
      </c>
      <c r="L23" s="121">
        <f t="shared" si="23"/>
        <v>38727.75368839594</v>
      </c>
      <c r="M23" s="122">
        <f t="shared" si="24"/>
        <v>0.16137859926136949</v>
      </c>
      <c r="N23" s="123" t="s">
        <v>8</v>
      </c>
      <c r="O23" s="124">
        <f t="shared" si="25"/>
        <v>0.10957851475601438</v>
      </c>
      <c r="P23" s="29">
        <f t="shared" si="26"/>
        <v>366894.13749654446</v>
      </c>
      <c r="Q23" s="125">
        <f t="shared" si="27"/>
        <v>366894.13749654446</v>
      </c>
      <c r="R23" s="136" t="s">
        <v>8</v>
      </c>
      <c r="S23" s="123" t="s">
        <v>8</v>
      </c>
      <c r="T23" s="126">
        <f t="shared" si="28"/>
        <v>0.27643064729821004</v>
      </c>
      <c r="U23" s="124">
        <f t="shared" si="29"/>
        <v>6.9190693731826292E-2</v>
      </c>
      <c r="V23" s="46">
        <f t="shared" si="30"/>
        <v>265165.53503673233</v>
      </c>
      <c r="W23" s="125">
        <f t="shared" si="31"/>
        <v>265165.53503673233</v>
      </c>
      <c r="X23" s="115" t="s">
        <v>8</v>
      </c>
      <c r="Y23" s="123" t="s">
        <v>8</v>
      </c>
      <c r="Z23" s="126">
        <f t="shared" si="32"/>
        <v>0.35958225632343743</v>
      </c>
      <c r="AA23" s="124">
        <f t="shared" si="33"/>
        <v>5.0085076228935155E-2</v>
      </c>
      <c r="AB23" s="46">
        <f t="shared" si="34"/>
        <v>212630.3448246897</v>
      </c>
      <c r="AC23" s="125">
        <f t="shared" si="35"/>
        <v>212630.3448246897</v>
      </c>
      <c r="AD23" s="115" t="s">
        <v>8</v>
      </c>
      <c r="AE23" s="123" t="s">
        <v>8</v>
      </c>
      <c r="AF23" s="126">
        <f t="shared" si="36"/>
        <v>0.42625968217107874</v>
      </c>
      <c r="AG23" s="124">
        <f t="shared" si="37"/>
        <v>4.014497773160991E-2</v>
      </c>
      <c r="AH23" s="46">
        <f t="shared" si="38"/>
        <v>185268.27441424131</v>
      </c>
      <c r="AI23" s="125">
        <f t="shared" si="39"/>
        <v>185268.27441424131</v>
      </c>
      <c r="AJ23" s="115" t="s">
        <v>8</v>
      </c>
      <c r="AK23" s="123" t="s">
        <v>8</v>
      </c>
      <c r="AL23" s="126">
        <f t="shared" si="40"/>
        <v>0.48435680673418413</v>
      </c>
      <c r="AM23" s="124">
        <f t="shared" si="41"/>
        <v>3.3679722800983081E-2</v>
      </c>
      <c r="AN23" s="46">
        <f t="shared" si="42"/>
        <v>166785.40955780976</v>
      </c>
      <c r="AO23" s="125">
        <f t="shared" si="43"/>
        <v>166785.40955780976</v>
      </c>
      <c r="AP23" s="115" t="s">
        <v>8</v>
      </c>
      <c r="AQ23" s="123" t="s">
        <v>8</v>
      </c>
      <c r="AR23" s="126">
        <f t="shared" si="44"/>
        <v>0.53665800479426484</v>
      </c>
      <c r="AS23" s="124">
        <f t="shared" si="45"/>
        <v>2.7873286119097784E-2</v>
      </c>
      <c r="AT23" s="46">
        <f t="shared" si="46"/>
        <v>146495.93754321442</v>
      </c>
      <c r="AU23" s="125">
        <f t="shared" si="47"/>
        <v>146495.93754321442</v>
      </c>
      <c r="AV23" s="115" t="s">
        <v>8</v>
      </c>
      <c r="AW23" s="123" t="s">
        <v>8</v>
      </c>
      <c r="AX23" s="126">
        <f t="shared" si="48"/>
        <v>0.58259675366179786</v>
      </c>
      <c r="AY23" s="124">
        <f t="shared" si="49"/>
        <v>2.2766159599140301E-2</v>
      </c>
      <c r="AZ23" s="46">
        <f t="shared" si="50"/>
        <v>125724.37193783747</v>
      </c>
      <c r="BA23" s="125">
        <f t="shared" si="51"/>
        <v>125724.37193783747</v>
      </c>
      <c r="BB23" s="115" t="s">
        <v>8</v>
      </c>
      <c r="BC23" s="123" t="s">
        <v>8</v>
      </c>
      <c r="BD23" s="126">
        <f t="shared" si="52"/>
        <v>0.62202187660950348</v>
      </c>
      <c r="BE23" s="124">
        <f t="shared" si="53"/>
        <v>2.1308245532128511E-2</v>
      </c>
      <c r="BF23" s="46">
        <f t="shared" si="54"/>
        <v>126720.47827636707</v>
      </c>
      <c r="BG23" s="125">
        <f t="shared" si="55"/>
        <v>126720.47827636707</v>
      </c>
      <c r="BH23" s="115" t="s">
        <v>8</v>
      </c>
      <c r="BI23" s="123" t="s">
        <v>8</v>
      </c>
      <c r="BJ23" s="126">
        <f t="shared" si="56"/>
        <v>0.66175936234145061</v>
      </c>
      <c r="BK23" s="124">
        <f t="shared" si="57"/>
        <v>1.8523497600521632E-2</v>
      </c>
      <c r="BL23" s="46">
        <f t="shared" si="58"/>
        <v>116457.74520658319</v>
      </c>
      <c r="BM23" s="125">
        <f t="shared" si="59"/>
        <v>26655.808021563771</v>
      </c>
      <c r="BN23" s="115" t="s">
        <v>8</v>
      </c>
      <c r="BO23" s="123" t="s">
        <v>8</v>
      </c>
      <c r="BP23" s="126">
        <f t="shared" si="60"/>
        <v>0.67011819120114213</v>
      </c>
      <c r="BQ23" s="124">
        <f t="shared" si="61"/>
        <v>1.8179896254941763E-2</v>
      </c>
      <c r="BR23" s="46">
        <f t="shared" si="62"/>
        <v>115892.15585934361</v>
      </c>
      <c r="BS23" s="127">
        <f t="shared" si="63"/>
        <v>0</v>
      </c>
      <c r="BT23" s="115" t="s">
        <v>8</v>
      </c>
      <c r="BU23" s="123" t="s">
        <v>8</v>
      </c>
      <c r="BV23" s="126">
        <f t="shared" si="64"/>
        <v>0.67011819120114213</v>
      </c>
      <c r="BW23" s="124">
        <f t="shared" si="65"/>
        <v>1.8179896254941763E-2</v>
      </c>
      <c r="BX23" s="46">
        <f t="shared" si="66"/>
        <v>115892.15585934361</v>
      </c>
      <c r="BY23" s="127">
        <f t="shared" si="67"/>
        <v>0</v>
      </c>
      <c r="BZ23" s="115" t="s">
        <v>8</v>
      </c>
      <c r="CA23" s="123" t="s">
        <v>8</v>
      </c>
      <c r="CB23" s="126">
        <f t="shared" si="68"/>
        <v>0.67011819120114213</v>
      </c>
      <c r="CC23" s="124">
        <f t="shared" si="69"/>
        <v>1.8179896254941763E-2</v>
      </c>
      <c r="CD23" s="46">
        <f t="shared" si="70"/>
        <v>115892.15585934361</v>
      </c>
      <c r="CE23" s="127">
        <f t="shared" si="71"/>
        <v>0</v>
      </c>
      <c r="CF23" s="115" t="s">
        <v>8</v>
      </c>
      <c r="CG23" s="123" t="s">
        <v>8</v>
      </c>
      <c r="CH23" s="126">
        <f t="shared" si="72"/>
        <v>0.67011819120114213</v>
      </c>
      <c r="CI23" s="124">
        <f t="shared" si="73"/>
        <v>1.8179896254941763E-2</v>
      </c>
      <c r="CJ23" s="46">
        <f t="shared" si="74"/>
        <v>115892.15585934361</v>
      </c>
      <c r="CK23" s="127">
        <f t="shared" si="75"/>
        <v>0</v>
      </c>
      <c r="CL23" s="115" t="s">
        <v>8</v>
      </c>
      <c r="CM23" s="123" t="s">
        <v>8</v>
      </c>
      <c r="CN23" s="126">
        <f t="shared" si="76"/>
        <v>0.67011819120114213</v>
      </c>
      <c r="CO23" s="124">
        <f t="shared" si="77"/>
        <v>1.8179896254941763E-2</v>
      </c>
      <c r="CP23" s="46">
        <f t="shared" si="78"/>
        <v>115892.15585934361</v>
      </c>
      <c r="CQ23" s="127">
        <f t="shared" si="79"/>
        <v>0</v>
      </c>
      <c r="CR23" s="115" t="s">
        <v>8</v>
      </c>
      <c r="CS23" s="123" t="s">
        <v>8</v>
      </c>
      <c r="CT23" s="126">
        <f t="shared" si="80"/>
        <v>0.67011819120114213</v>
      </c>
      <c r="CU23" s="124">
        <f t="shared" si="81"/>
        <v>1.8179896254941763E-2</v>
      </c>
      <c r="CV23" s="46">
        <f t="shared" si="82"/>
        <v>115892.15585934361</v>
      </c>
      <c r="CW23" s="127">
        <f t="shared" si="83"/>
        <v>0</v>
      </c>
      <c r="CX23" s="115" t="s">
        <v>8</v>
      </c>
      <c r="CY23" s="123" t="s">
        <v>8</v>
      </c>
      <c r="CZ23" s="126">
        <f t="shared" si="84"/>
        <v>0.67011819120114213</v>
      </c>
      <c r="DA23" s="124">
        <f t="shared" si="85"/>
        <v>1.8179896254941763E-2</v>
      </c>
      <c r="DB23" s="46">
        <f t="shared" si="86"/>
        <v>115892.15585934361</v>
      </c>
      <c r="DC23" s="127">
        <f t="shared" si="87"/>
        <v>0</v>
      </c>
      <c r="DD23" s="115" t="s">
        <v>8</v>
      </c>
      <c r="DE23" s="123" t="s">
        <v>8</v>
      </c>
      <c r="DF23" s="126">
        <f t="shared" si="88"/>
        <v>0.67011819120114213</v>
      </c>
      <c r="DG23" s="124">
        <f t="shared" si="89"/>
        <v>1.8179896254941763E-2</v>
      </c>
      <c r="DH23" s="46">
        <f t="shared" si="90"/>
        <v>115892.15585934361</v>
      </c>
      <c r="DI23" s="127">
        <f t="shared" si="91"/>
        <v>0</v>
      </c>
      <c r="DJ23" s="115" t="s">
        <v>8</v>
      </c>
      <c r="DK23" s="123" t="s">
        <v>8</v>
      </c>
      <c r="DL23" s="126">
        <f t="shared" si="92"/>
        <v>0.67011819120114213</v>
      </c>
      <c r="DM23" s="124">
        <f t="shared" si="93"/>
        <v>1.8179896254941763E-2</v>
      </c>
      <c r="DN23" s="46">
        <f t="shared" si="94"/>
        <v>115892.15585934361</v>
      </c>
      <c r="DO23" s="127">
        <f t="shared" si="95"/>
        <v>0</v>
      </c>
      <c r="DP23" s="115" t="s">
        <v>8</v>
      </c>
      <c r="DQ23" s="123" t="s">
        <v>8</v>
      </c>
      <c r="DR23" s="126">
        <f t="shared" si="96"/>
        <v>0.67011819120114213</v>
      </c>
      <c r="DS23" s="124">
        <f t="shared" si="97"/>
        <v>1.8179896254941763E-2</v>
      </c>
      <c r="DT23" s="46">
        <f t="shared" si="98"/>
        <v>115892.15585934361</v>
      </c>
      <c r="DU23" s="127">
        <f t="shared" si="99"/>
        <v>0</v>
      </c>
      <c r="DV23" s="115" t="s">
        <v>8</v>
      </c>
      <c r="DW23" s="123" t="s">
        <v>8</v>
      </c>
      <c r="DX23" s="30">
        <f t="shared" si="100"/>
        <v>0.67011819120114213</v>
      </c>
      <c r="DY23" s="124">
        <f t="shared" si="101"/>
        <v>1.8179896254941763E-2</v>
      </c>
      <c r="DZ23" s="29">
        <f t="shared" si="102"/>
        <v>115892.15585934361</v>
      </c>
      <c r="EA23" s="125">
        <f t="shared" si="103"/>
        <v>0</v>
      </c>
      <c r="EB23" s="115" t="s">
        <v>8</v>
      </c>
      <c r="EC23" s="123" t="s">
        <v>8</v>
      </c>
      <c r="ED23" s="30">
        <f t="shared" si="104"/>
        <v>0.67011819120114213</v>
      </c>
      <c r="EE23" s="124">
        <f t="shared" si="105"/>
        <v>1.8179896254941763E-2</v>
      </c>
      <c r="EF23" s="29">
        <f t="shared" si="106"/>
        <v>115892.15585934361</v>
      </c>
      <c r="EG23" s="125">
        <f t="shared" si="107"/>
        <v>0</v>
      </c>
      <c r="EH23" s="115" t="s">
        <v>8</v>
      </c>
      <c r="EI23" s="123" t="s">
        <v>8</v>
      </c>
      <c r="EJ23" s="30">
        <f t="shared" si="108"/>
        <v>0.67011819120114213</v>
      </c>
      <c r="EK23" s="124">
        <f t="shared" si="109"/>
        <v>1.8179896254941763E-2</v>
      </c>
      <c r="EL23" s="29">
        <f t="shared" si="110"/>
        <v>115892.15585934361</v>
      </c>
      <c r="EM23" s="125">
        <f t="shared" si="111"/>
        <v>0</v>
      </c>
      <c r="EN23" s="115" t="s">
        <v>8</v>
      </c>
      <c r="EO23" s="123" t="s">
        <v>8</v>
      </c>
      <c r="EP23" s="30">
        <f t="shared" si="112"/>
        <v>0.67011819120114213</v>
      </c>
      <c r="EQ23" s="124">
        <f t="shared" si="113"/>
        <v>1.8179896254941763E-2</v>
      </c>
      <c r="ER23" s="29">
        <f t="shared" si="114"/>
        <v>115892.15585934361</v>
      </c>
      <c r="ES23" s="125">
        <f t="shared" si="115"/>
        <v>0</v>
      </c>
      <c r="ET23" s="115" t="s">
        <v>8</v>
      </c>
      <c r="EU23" s="123" t="s">
        <v>8</v>
      </c>
      <c r="EV23" s="30">
        <f t="shared" si="116"/>
        <v>0.67011819120114213</v>
      </c>
      <c r="EW23" s="124">
        <f t="shared" si="117"/>
        <v>1.8179896254941763E-2</v>
      </c>
      <c r="EX23" s="29">
        <f t="shared" si="118"/>
        <v>115892.15585934361</v>
      </c>
      <c r="EY23" s="125">
        <f t="shared" si="119"/>
        <v>0</v>
      </c>
      <c r="EZ23" s="115" t="s">
        <v>8</v>
      </c>
      <c r="FA23" s="123" t="s">
        <v>8</v>
      </c>
      <c r="FB23" s="30">
        <f t="shared" si="120"/>
        <v>0.67011819120114213</v>
      </c>
      <c r="FC23" s="124">
        <f t="shared" si="121"/>
        <v>1.8179896254941763E-2</v>
      </c>
      <c r="FD23" s="29">
        <f t="shared" si="122"/>
        <v>115892.15585934361</v>
      </c>
      <c r="FE23" s="125">
        <f t="shared" si="123"/>
        <v>0</v>
      </c>
      <c r="FF23" s="115" t="s">
        <v>8</v>
      </c>
      <c r="FG23" s="123" t="s">
        <v>8</v>
      </c>
      <c r="FH23" s="30">
        <f t="shared" si="124"/>
        <v>0.67011819120114213</v>
      </c>
      <c r="FI23" s="124">
        <f t="shared" si="125"/>
        <v>1.8179896254941763E-2</v>
      </c>
      <c r="FJ23" s="29">
        <f t="shared" si="126"/>
        <v>115892.15585934361</v>
      </c>
      <c r="FK23" s="125">
        <f t="shared" si="127"/>
        <v>0</v>
      </c>
      <c r="FL23" s="115" t="s">
        <v>8</v>
      </c>
      <c r="FM23" s="123" t="s">
        <v>8</v>
      </c>
      <c r="FN23" s="30">
        <f t="shared" si="128"/>
        <v>0.67011819120114213</v>
      </c>
      <c r="FO23" s="124">
        <f t="shared" si="129"/>
        <v>1.8179896254941763E-2</v>
      </c>
      <c r="FP23" s="29">
        <f t="shared" si="130"/>
        <v>115892.15585934361</v>
      </c>
      <c r="FQ23" s="125">
        <f t="shared" si="131"/>
        <v>0</v>
      </c>
      <c r="FR23" s="115" t="s">
        <v>8</v>
      </c>
      <c r="FS23" s="123" t="s">
        <v>8</v>
      </c>
      <c r="FT23" s="30">
        <f t="shared" si="132"/>
        <v>0.67011819120114213</v>
      </c>
      <c r="FU23" s="124">
        <f t="shared" si="133"/>
        <v>1.8179896254941763E-2</v>
      </c>
      <c r="FV23" s="29">
        <f t="shared" si="134"/>
        <v>115892.15585934361</v>
      </c>
      <c r="FW23" s="125">
        <f t="shared" si="135"/>
        <v>0</v>
      </c>
      <c r="FX23" s="115" t="s">
        <v>8</v>
      </c>
      <c r="FY23" s="123" t="s">
        <v>8</v>
      </c>
      <c r="FZ23" s="30">
        <f t="shared" si="136"/>
        <v>0.67011819120114213</v>
      </c>
      <c r="GA23" s="124">
        <f t="shared" si="137"/>
        <v>1.8179896254941763E-2</v>
      </c>
      <c r="GB23" s="29">
        <f t="shared" si="138"/>
        <v>115892.15585934361</v>
      </c>
      <c r="GC23" s="125">
        <f t="shared" si="139"/>
        <v>0</v>
      </c>
      <c r="GD23" s="115" t="s">
        <v>8</v>
      </c>
      <c r="GE23" s="123" t="s">
        <v>8</v>
      </c>
      <c r="GF23" s="30">
        <f t="shared" si="140"/>
        <v>0.67011819120114213</v>
      </c>
      <c r="GG23" s="124">
        <f t="shared" si="141"/>
        <v>1.8179896254941763E-2</v>
      </c>
      <c r="GH23" s="29">
        <f t="shared" si="142"/>
        <v>115892.15585934361</v>
      </c>
      <c r="GI23" s="127">
        <f t="shared" si="143"/>
        <v>0</v>
      </c>
      <c r="GJ23" s="142">
        <f t="shared" si="146"/>
        <v>1622340.2971090004</v>
      </c>
      <c r="GK23" s="238">
        <f t="shared" si="144"/>
        <v>1661068.0507973963</v>
      </c>
      <c r="GL23" s="196">
        <f t="shared" si="145"/>
        <v>0.67011819120114224</v>
      </c>
      <c r="GM23" s="86">
        <v>1661068.05</v>
      </c>
    </row>
    <row r="24" spans="1:195" s="20" customFormat="1" x14ac:dyDescent="0.25">
      <c r="A24" s="159" t="s">
        <v>187</v>
      </c>
      <c r="B24" s="131" t="s">
        <v>8</v>
      </c>
      <c r="C24" s="131" t="s">
        <v>8</v>
      </c>
      <c r="D24" s="131" t="s">
        <v>8</v>
      </c>
      <c r="E24" s="131" t="s">
        <v>8</v>
      </c>
      <c r="F24" s="131" t="s">
        <v>8</v>
      </c>
      <c r="G24" s="116">
        <f>'Исходные данные'!C26</f>
        <v>464</v>
      </c>
      <c r="H24" s="42">
        <f>'Исходные данные'!E26</f>
        <v>1033157</v>
      </c>
      <c r="I24" s="118">
        <f>'Расчет КРП'!G22</f>
        <v>4.3299536869564328</v>
      </c>
      <c r="J24" s="119" t="s">
        <v>8</v>
      </c>
      <c r="K24" s="120">
        <f t="shared" si="22"/>
        <v>0.28851898367857953</v>
      </c>
      <c r="L24" s="121">
        <f t="shared" si="23"/>
        <v>41309.603934289</v>
      </c>
      <c r="M24" s="122">
        <f t="shared" si="24"/>
        <v>0.30005508607471654</v>
      </c>
      <c r="N24" s="123" t="s">
        <v>8</v>
      </c>
      <c r="O24" s="124">
        <f t="shared" si="25"/>
        <v>-2.9097972057332666E-2</v>
      </c>
      <c r="P24" s="29">
        <f t="shared" si="26"/>
        <v>0</v>
      </c>
      <c r="Q24" s="125">
        <f t="shared" si="27"/>
        <v>0</v>
      </c>
      <c r="R24" s="136" t="s">
        <v>8</v>
      </c>
      <c r="S24" s="123" t="s">
        <v>8</v>
      </c>
      <c r="T24" s="126">
        <f t="shared" si="28"/>
        <v>0.30005508607471654</v>
      </c>
      <c r="U24" s="124">
        <f t="shared" si="29"/>
        <v>4.5566254955319796E-2</v>
      </c>
      <c r="V24" s="46">
        <f t="shared" si="30"/>
        <v>196091.2599851409</v>
      </c>
      <c r="W24" s="125">
        <f t="shared" si="31"/>
        <v>196091.2599851409</v>
      </c>
      <c r="X24" s="115" t="s">
        <v>8</v>
      </c>
      <c r="Y24" s="123" t="s">
        <v>8</v>
      </c>
      <c r="Z24" s="126">
        <f t="shared" si="32"/>
        <v>0.35481544780015128</v>
      </c>
      <c r="AA24" s="124">
        <f t="shared" si="33"/>
        <v>5.4851884752221303E-2</v>
      </c>
      <c r="AB24" s="46">
        <f t="shared" si="34"/>
        <v>261489.32842060571</v>
      </c>
      <c r="AC24" s="125">
        <f t="shared" si="35"/>
        <v>261489.32842060571</v>
      </c>
      <c r="AD24" s="115" t="s">
        <v>8</v>
      </c>
      <c r="AE24" s="123" t="s">
        <v>8</v>
      </c>
      <c r="AF24" s="126">
        <f t="shared" si="36"/>
        <v>0.42783884625624996</v>
      </c>
      <c r="AG24" s="124">
        <f t="shared" si="37"/>
        <v>3.8565813646438685E-2</v>
      </c>
      <c r="AH24" s="46">
        <f t="shared" si="38"/>
        <v>199856.30048516841</v>
      </c>
      <c r="AI24" s="125">
        <f t="shared" si="39"/>
        <v>199856.30048516841</v>
      </c>
      <c r="AJ24" s="115" t="s">
        <v>8</v>
      </c>
      <c r="AK24" s="123" t="s">
        <v>8</v>
      </c>
      <c r="AL24" s="126">
        <f t="shared" si="40"/>
        <v>0.48365063158775484</v>
      </c>
      <c r="AM24" s="124">
        <f t="shared" si="41"/>
        <v>3.4385897947412369E-2</v>
      </c>
      <c r="AN24" s="46">
        <f t="shared" si="42"/>
        <v>191212.12487569533</v>
      </c>
      <c r="AO24" s="125">
        <f t="shared" si="43"/>
        <v>191212.12487569533</v>
      </c>
      <c r="AP24" s="115" t="s">
        <v>8</v>
      </c>
      <c r="AQ24" s="123" t="s">
        <v>8</v>
      </c>
      <c r="AR24" s="126">
        <f t="shared" si="44"/>
        <v>0.53704844812111541</v>
      </c>
      <c r="AS24" s="124">
        <f t="shared" si="45"/>
        <v>2.748284279224722E-2</v>
      </c>
      <c r="AT24" s="46">
        <f t="shared" si="46"/>
        <v>162197.65562205436</v>
      </c>
      <c r="AU24" s="125">
        <f t="shared" si="47"/>
        <v>162197.65562205436</v>
      </c>
      <c r="AV24" s="115" t="s">
        <v>8</v>
      </c>
      <c r="AW24" s="123" t="s">
        <v>8</v>
      </c>
      <c r="AX24" s="126">
        <f t="shared" si="48"/>
        <v>0.58234369633133265</v>
      </c>
      <c r="AY24" s="124">
        <f t="shared" si="49"/>
        <v>2.3019216929605513E-2</v>
      </c>
      <c r="AZ24" s="46">
        <f t="shared" si="50"/>
        <v>142746.59406525546</v>
      </c>
      <c r="BA24" s="125">
        <f t="shared" si="51"/>
        <v>142746.59406525546</v>
      </c>
      <c r="BB24" s="115" t="s">
        <v>8</v>
      </c>
      <c r="BC24" s="123" t="s">
        <v>8</v>
      </c>
      <c r="BD24" s="126">
        <f t="shared" si="52"/>
        <v>0.6222070493776618</v>
      </c>
      <c r="BE24" s="124">
        <f t="shared" si="53"/>
        <v>2.1123072763970185E-2</v>
      </c>
      <c r="BF24" s="46">
        <f t="shared" si="54"/>
        <v>141059.29743394788</v>
      </c>
      <c r="BG24" s="125">
        <f t="shared" si="55"/>
        <v>141059.29743394788</v>
      </c>
      <c r="BH24" s="115" t="s">
        <v>8</v>
      </c>
      <c r="BI24" s="123" t="s">
        <v>8</v>
      </c>
      <c r="BJ24" s="126">
        <f t="shared" si="56"/>
        <v>0.66159920868554734</v>
      </c>
      <c r="BK24" s="124">
        <f t="shared" si="57"/>
        <v>1.8683651256424905E-2</v>
      </c>
      <c r="BL24" s="46">
        <f t="shared" si="58"/>
        <v>131902.38446097882</v>
      </c>
      <c r="BM24" s="125">
        <f t="shared" si="59"/>
        <v>30190.904276408703</v>
      </c>
      <c r="BN24" s="115" t="s">
        <v>8</v>
      </c>
      <c r="BO24" s="123" t="s">
        <v>8</v>
      </c>
      <c r="BP24" s="126">
        <f t="shared" si="60"/>
        <v>0.6700303077519687</v>
      </c>
      <c r="BQ24" s="124">
        <f t="shared" si="61"/>
        <v>1.8267779704115195E-2</v>
      </c>
      <c r="BR24" s="46">
        <f t="shared" si="62"/>
        <v>130765.72240961021</v>
      </c>
      <c r="BS24" s="127">
        <f t="shared" si="63"/>
        <v>0</v>
      </c>
      <c r="BT24" s="115" t="s">
        <v>8</v>
      </c>
      <c r="BU24" s="123" t="s">
        <v>8</v>
      </c>
      <c r="BV24" s="126">
        <f t="shared" si="64"/>
        <v>0.6700303077519687</v>
      </c>
      <c r="BW24" s="124">
        <f t="shared" si="65"/>
        <v>1.8267779704115195E-2</v>
      </c>
      <c r="BX24" s="46">
        <f t="shared" si="66"/>
        <v>130765.72240961021</v>
      </c>
      <c r="BY24" s="127">
        <f t="shared" si="67"/>
        <v>0</v>
      </c>
      <c r="BZ24" s="115" t="s">
        <v>8</v>
      </c>
      <c r="CA24" s="123" t="s">
        <v>8</v>
      </c>
      <c r="CB24" s="126">
        <f t="shared" si="68"/>
        <v>0.6700303077519687</v>
      </c>
      <c r="CC24" s="124">
        <f t="shared" si="69"/>
        <v>1.8267779704115195E-2</v>
      </c>
      <c r="CD24" s="46">
        <f t="shared" si="70"/>
        <v>130765.72240961021</v>
      </c>
      <c r="CE24" s="127">
        <f t="shared" si="71"/>
        <v>0</v>
      </c>
      <c r="CF24" s="115" t="s">
        <v>8</v>
      </c>
      <c r="CG24" s="123" t="s">
        <v>8</v>
      </c>
      <c r="CH24" s="126">
        <f t="shared" si="72"/>
        <v>0.6700303077519687</v>
      </c>
      <c r="CI24" s="124">
        <f t="shared" si="73"/>
        <v>1.8267779704115195E-2</v>
      </c>
      <c r="CJ24" s="46">
        <f t="shared" si="74"/>
        <v>130765.72240961021</v>
      </c>
      <c r="CK24" s="127">
        <f t="shared" si="75"/>
        <v>0</v>
      </c>
      <c r="CL24" s="115" t="s">
        <v>8</v>
      </c>
      <c r="CM24" s="123" t="s">
        <v>8</v>
      </c>
      <c r="CN24" s="126">
        <f t="shared" si="76"/>
        <v>0.6700303077519687</v>
      </c>
      <c r="CO24" s="124">
        <f t="shared" si="77"/>
        <v>1.8267779704115195E-2</v>
      </c>
      <c r="CP24" s="46">
        <f t="shared" si="78"/>
        <v>130765.72240961021</v>
      </c>
      <c r="CQ24" s="127">
        <f t="shared" si="79"/>
        <v>0</v>
      </c>
      <c r="CR24" s="115" t="s">
        <v>8</v>
      </c>
      <c r="CS24" s="123" t="s">
        <v>8</v>
      </c>
      <c r="CT24" s="126">
        <f t="shared" si="80"/>
        <v>0.6700303077519687</v>
      </c>
      <c r="CU24" s="124">
        <f t="shared" si="81"/>
        <v>1.8267779704115195E-2</v>
      </c>
      <c r="CV24" s="46">
        <f t="shared" si="82"/>
        <v>130765.72240961021</v>
      </c>
      <c r="CW24" s="127">
        <f t="shared" si="83"/>
        <v>0</v>
      </c>
      <c r="CX24" s="115" t="s">
        <v>8</v>
      </c>
      <c r="CY24" s="123" t="s">
        <v>8</v>
      </c>
      <c r="CZ24" s="126">
        <f t="shared" si="84"/>
        <v>0.6700303077519687</v>
      </c>
      <c r="DA24" s="124">
        <f t="shared" si="85"/>
        <v>1.8267779704115195E-2</v>
      </c>
      <c r="DB24" s="46">
        <f t="shared" si="86"/>
        <v>130765.72240961021</v>
      </c>
      <c r="DC24" s="127">
        <f t="shared" si="87"/>
        <v>0</v>
      </c>
      <c r="DD24" s="115" t="s">
        <v>8</v>
      </c>
      <c r="DE24" s="123" t="s">
        <v>8</v>
      </c>
      <c r="DF24" s="126">
        <f t="shared" si="88"/>
        <v>0.6700303077519687</v>
      </c>
      <c r="DG24" s="124">
        <f t="shared" si="89"/>
        <v>1.8267779704115195E-2</v>
      </c>
      <c r="DH24" s="46">
        <f t="shared" si="90"/>
        <v>130765.72240961021</v>
      </c>
      <c r="DI24" s="127">
        <f t="shared" si="91"/>
        <v>0</v>
      </c>
      <c r="DJ24" s="115" t="s">
        <v>8</v>
      </c>
      <c r="DK24" s="123" t="s">
        <v>8</v>
      </c>
      <c r="DL24" s="126">
        <f t="shared" si="92"/>
        <v>0.6700303077519687</v>
      </c>
      <c r="DM24" s="124">
        <f t="shared" si="93"/>
        <v>1.8267779704115195E-2</v>
      </c>
      <c r="DN24" s="46">
        <f t="shared" si="94"/>
        <v>130765.72240961021</v>
      </c>
      <c r="DO24" s="127">
        <f t="shared" si="95"/>
        <v>0</v>
      </c>
      <c r="DP24" s="115" t="s">
        <v>8</v>
      </c>
      <c r="DQ24" s="123" t="s">
        <v>8</v>
      </c>
      <c r="DR24" s="126">
        <f t="shared" si="96"/>
        <v>0.6700303077519687</v>
      </c>
      <c r="DS24" s="124">
        <f t="shared" si="97"/>
        <v>1.8267779704115195E-2</v>
      </c>
      <c r="DT24" s="46">
        <f t="shared" si="98"/>
        <v>130765.72240961021</v>
      </c>
      <c r="DU24" s="127">
        <f t="shared" si="99"/>
        <v>0</v>
      </c>
      <c r="DV24" s="115" t="s">
        <v>8</v>
      </c>
      <c r="DW24" s="123" t="s">
        <v>8</v>
      </c>
      <c r="DX24" s="30">
        <f t="shared" si="100"/>
        <v>0.6700303077519687</v>
      </c>
      <c r="DY24" s="124">
        <f t="shared" si="101"/>
        <v>1.8267779704115195E-2</v>
      </c>
      <c r="DZ24" s="29">
        <f t="shared" si="102"/>
        <v>130765.72240961021</v>
      </c>
      <c r="EA24" s="125">
        <f t="shared" si="103"/>
        <v>0</v>
      </c>
      <c r="EB24" s="115" t="s">
        <v>8</v>
      </c>
      <c r="EC24" s="123" t="s">
        <v>8</v>
      </c>
      <c r="ED24" s="30">
        <f t="shared" si="104"/>
        <v>0.6700303077519687</v>
      </c>
      <c r="EE24" s="124">
        <f t="shared" si="105"/>
        <v>1.8267779704115195E-2</v>
      </c>
      <c r="EF24" s="29">
        <f t="shared" si="106"/>
        <v>130765.72240961021</v>
      </c>
      <c r="EG24" s="125">
        <f t="shared" si="107"/>
        <v>0</v>
      </c>
      <c r="EH24" s="115" t="s">
        <v>8</v>
      </c>
      <c r="EI24" s="123" t="s">
        <v>8</v>
      </c>
      <c r="EJ24" s="30">
        <f t="shared" si="108"/>
        <v>0.6700303077519687</v>
      </c>
      <c r="EK24" s="124">
        <f t="shared" si="109"/>
        <v>1.8267779704115195E-2</v>
      </c>
      <c r="EL24" s="29">
        <f t="shared" si="110"/>
        <v>130765.72240961021</v>
      </c>
      <c r="EM24" s="125">
        <f t="shared" si="111"/>
        <v>0</v>
      </c>
      <c r="EN24" s="115" t="s">
        <v>8</v>
      </c>
      <c r="EO24" s="123" t="s">
        <v>8</v>
      </c>
      <c r="EP24" s="30">
        <f t="shared" si="112"/>
        <v>0.6700303077519687</v>
      </c>
      <c r="EQ24" s="124">
        <f t="shared" si="113"/>
        <v>1.8267779704115195E-2</v>
      </c>
      <c r="ER24" s="29">
        <f t="shared" si="114"/>
        <v>130765.72240961021</v>
      </c>
      <c r="ES24" s="125">
        <f t="shared" si="115"/>
        <v>0</v>
      </c>
      <c r="ET24" s="115" t="s">
        <v>8</v>
      </c>
      <c r="EU24" s="123" t="s">
        <v>8</v>
      </c>
      <c r="EV24" s="30">
        <f t="shared" si="116"/>
        <v>0.6700303077519687</v>
      </c>
      <c r="EW24" s="124">
        <f t="shared" si="117"/>
        <v>1.8267779704115195E-2</v>
      </c>
      <c r="EX24" s="29">
        <f t="shared" si="118"/>
        <v>130765.72240961021</v>
      </c>
      <c r="EY24" s="125">
        <f t="shared" si="119"/>
        <v>0</v>
      </c>
      <c r="EZ24" s="115" t="s">
        <v>8</v>
      </c>
      <c r="FA24" s="123" t="s">
        <v>8</v>
      </c>
      <c r="FB24" s="30">
        <f t="shared" si="120"/>
        <v>0.6700303077519687</v>
      </c>
      <c r="FC24" s="124">
        <f t="shared" si="121"/>
        <v>1.8267779704115195E-2</v>
      </c>
      <c r="FD24" s="29">
        <f t="shared" si="122"/>
        <v>130765.72240961021</v>
      </c>
      <c r="FE24" s="125">
        <f t="shared" si="123"/>
        <v>0</v>
      </c>
      <c r="FF24" s="115" t="s">
        <v>8</v>
      </c>
      <c r="FG24" s="123" t="s">
        <v>8</v>
      </c>
      <c r="FH24" s="30">
        <f t="shared" si="124"/>
        <v>0.6700303077519687</v>
      </c>
      <c r="FI24" s="124">
        <f t="shared" si="125"/>
        <v>1.8267779704115195E-2</v>
      </c>
      <c r="FJ24" s="29">
        <f t="shared" si="126"/>
        <v>130765.72240961021</v>
      </c>
      <c r="FK24" s="125">
        <f t="shared" si="127"/>
        <v>0</v>
      </c>
      <c r="FL24" s="115" t="s">
        <v>8</v>
      </c>
      <c r="FM24" s="123" t="s">
        <v>8</v>
      </c>
      <c r="FN24" s="30">
        <f t="shared" si="128"/>
        <v>0.6700303077519687</v>
      </c>
      <c r="FO24" s="124">
        <f t="shared" si="129"/>
        <v>1.8267779704115195E-2</v>
      </c>
      <c r="FP24" s="29">
        <f t="shared" si="130"/>
        <v>130765.72240961021</v>
      </c>
      <c r="FQ24" s="125">
        <f t="shared" si="131"/>
        <v>0</v>
      </c>
      <c r="FR24" s="115" t="s">
        <v>8</v>
      </c>
      <c r="FS24" s="123" t="s">
        <v>8</v>
      </c>
      <c r="FT24" s="30">
        <f t="shared" si="132"/>
        <v>0.6700303077519687</v>
      </c>
      <c r="FU24" s="124">
        <f t="shared" si="133"/>
        <v>1.8267779704115195E-2</v>
      </c>
      <c r="FV24" s="29">
        <f t="shared" si="134"/>
        <v>130765.72240961021</v>
      </c>
      <c r="FW24" s="125">
        <f t="shared" si="135"/>
        <v>0</v>
      </c>
      <c r="FX24" s="115" t="s">
        <v>8</v>
      </c>
      <c r="FY24" s="123" t="s">
        <v>8</v>
      </c>
      <c r="FZ24" s="30">
        <f t="shared" si="136"/>
        <v>0.6700303077519687</v>
      </c>
      <c r="GA24" s="124">
        <f t="shared" si="137"/>
        <v>1.8267779704115195E-2</v>
      </c>
      <c r="GB24" s="29">
        <f t="shared" si="138"/>
        <v>130765.72240961021</v>
      </c>
      <c r="GC24" s="125">
        <f t="shared" si="139"/>
        <v>0</v>
      </c>
      <c r="GD24" s="115" t="s">
        <v>8</v>
      </c>
      <c r="GE24" s="123" t="s">
        <v>8</v>
      </c>
      <c r="GF24" s="30">
        <f t="shared" si="140"/>
        <v>0.6700303077519687</v>
      </c>
      <c r="GG24" s="124">
        <f t="shared" si="141"/>
        <v>1.8267779704115195E-2</v>
      </c>
      <c r="GH24" s="29">
        <f t="shared" si="142"/>
        <v>130765.72240961021</v>
      </c>
      <c r="GI24" s="127">
        <f t="shared" si="143"/>
        <v>0</v>
      </c>
      <c r="GJ24" s="142">
        <f t="shared" si="146"/>
        <v>1324843.4651642768</v>
      </c>
      <c r="GK24" s="238">
        <f t="shared" si="144"/>
        <v>1366153.0690985657</v>
      </c>
      <c r="GL24" s="196">
        <f t="shared" si="145"/>
        <v>0.67003030775196859</v>
      </c>
      <c r="GM24" s="86">
        <v>1366153.07</v>
      </c>
    </row>
    <row r="25" spans="1:195" s="20" customFormat="1" ht="32.25" thickBot="1" x14ac:dyDescent="0.3">
      <c r="A25" s="160" t="s">
        <v>188</v>
      </c>
      <c r="B25" s="131" t="s">
        <v>8</v>
      </c>
      <c r="C25" s="131" t="s">
        <v>8</v>
      </c>
      <c r="D25" s="131" t="s">
        <v>8</v>
      </c>
      <c r="E25" s="131" t="s">
        <v>8</v>
      </c>
      <c r="F25" s="131" t="s">
        <v>8</v>
      </c>
      <c r="G25" s="116">
        <f>'Исходные данные'!C27</f>
        <v>9670</v>
      </c>
      <c r="H25" s="42">
        <f>'Исходные данные'!E27</f>
        <v>22005092</v>
      </c>
      <c r="I25" s="118">
        <f>'Расчет КРП'!G23</f>
        <v>2.3072890395860188</v>
      </c>
      <c r="J25" s="119" t="s">
        <v>8</v>
      </c>
      <c r="K25" s="120">
        <f t="shared" si="22"/>
        <v>0.5533552241315135</v>
      </c>
      <c r="L25" s="121">
        <f t="shared" si="23"/>
        <v>860913.51302710059</v>
      </c>
      <c r="M25" s="122">
        <f t="shared" si="24"/>
        <v>0.57500434925032518</v>
      </c>
      <c r="N25" s="123" t="s">
        <v>8</v>
      </c>
      <c r="O25" s="124">
        <f t="shared" si="25"/>
        <v>-0.3040472352329413</v>
      </c>
      <c r="P25" s="29">
        <f t="shared" si="26"/>
        <v>0</v>
      </c>
      <c r="Q25" s="125">
        <f t="shared" si="27"/>
        <v>0</v>
      </c>
      <c r="R25" s="136" t="s">
        <v>8</v>
      </c>
      <c r="S25" s="123" t="s">
        <v>8</v>
      </c>
      <c r="T25" s="126">
        <f t="shared" si="28"/>
        <v>0.57500434925032518</v>
      </c>
      <c r="U25" s="124">
        <f t="shared" si="29"/>
        <v>-0.22938300822028884</v>
      </c>
      <c r="V25" s="46">
        <f t="shared" si="30"/>
        <v>0</v>
      </c>
      <c r="W25" s="125">
        <f t="shared" si="31"/>
        <v>0</v>
      </c>
      <c r="X25" s="115" t="s">
        <v>8</v>
      </c>
      <c r="Y25" s="123" t="s">
        <v>8</v>
      </c>
      <c r="Z25" s="126">
        <f t="shared" si="32"/>
        <v>0.57500434925032518</v>
      </c>
      <c r="AA25" s="124">
        <f t="shared" si="33"/>
        <v>-0.16533701669795259</v>
      </c>
      <c r="AB25" s="46">
        <f t="shared" si="34"/>
        <v>0</v>
      </c>
      <c r="AC25" s="125">
        <f t="shared" si="35"/>
        <v>0</v>
      </c>
      <c r="AD25" s="115" t="s">
        <v>8</v>
      </c>
      <c r="AE25" s="123" t="s">
        <v>8</v>
      </c>
      <c r="AF25" s="126">
        <f t="shared" si="36"/>
        <v>0.57500434925032518</v>
      </c>
      <c r="AG25" s="124">
        <f t="shared" si="37"/>
        <v>-0.10859968934763653</v>
      </c>
      <c r="AH25" s="46">
        <f t="shared" si="38"/>
        <v>0</v>
      </c>
      <c r="AI25" s="125">
        <f t="shared" si="39"/>
        <v>0</v>
      </c>
      <c r="AJ25" s="115" t="s">
        <v>8</v>
      </c>
      <c r="AK25" s="123" t="s">
        <v>8</v>
      </c>
      <c r="AL25" s="126">
        <f t="shared" si="40"/>
        <v>0.57500434925032518</v>
      </c>
      <c r="AM25" s="124">
        <f t="shared" si="41"/>
        <v>-5.6967819715157964E-2</v>
      </c>
      <c r="AN25" s="46">
        <f t="shared" si="42"/>
        <v>0</v>
      </c>
      <c r="AO25" s="125">
        <f t="shared" si="43"/>
        <v>0</v>
      </c>
      <c r="AP25" s="115" t="s">
        <v>8</v>
      </c>
      <c r="AQ25" s="123" t="s">
        <v>8</v>
      </c>
      <c r="AR25" s="126">
        <f t="shared" si="44"/>
        <v>0.57500434925032518</v>
      </c>
      <c r="AS25" s="124">
        <f t="shared" si="45"/>
        <v>-1.0473058336962549E-2</v>
      </c>
      <c r="AT25" s="46">
        <f t="shared" si="46"/>
        <v>0</v>
      </c>
      <c r="AU25" s="125">
        <f t="shared" si="47"/>
        <v>0</v>
      </c>
      <c r="AV25" s="115" t="s">
        <v>8</v>
      </c>
      <c r="AW25" s="123" t="s">
        <v>8</v>
      </c>
      <c r="AX25" s="126">
        <f t="shared" si="48"/>
        <v>0.57500434925032518</v>
      </c>
      <c r="AY25" s="124">
        <f t="shared" si="49"/>
        <v>3.0358564010612987E-2</v>
      </c>
      <c r="AZ25" s="46">
        <f t="shared" si="50"/>
        <v>2090661.2976540369</v>
      </c>
      <c r="BA25" s="125">
        <f t="shared" si="51"/>
        <v>2090661.2976540369</v>
      </c>
      <c r="BB25" s="115" t="s">
        <v>8</v>
      </c>
      <c r="BC25" s="123" t="s">
        <v>8</v>
      </c>
      <c r="BD25" s="126">
        <f t="shared" si="52"/>
        <v>0.6275775605300794</v>
      </c>
      <c r="BE25" s="124">
        <f t="shared" si="53"/>
        <v>1.5752561611552585E-2</v>
      </c>
      <c r="BF25" s="46">
        <f t="shared" si="54"/>
        <v>1168215.7406125199</v>
      </c>
      <c r="BG25" s="125">
        <f t="shared" si="55"/>
        <v>1168215.7406125199</v>
      </c>
      <c r="BH25" s="115" t="s">
        <v>8</v>
      </c>
      <c r="BI25" s="123" t="s">
        <v>8</v>
      </c>
      <c r="BJ25" s="126">
        <f t="shared" si="56"/>
        <v>0.65695431946299365</v>
      </c>
      <c r="BK25" s="124">
        <f t="shared" si="57"/>
        <v>2.3328540478978588E-2</v>
      </c>
      <c r="BL25" s="46">
        <f t="shared" si="58"/>
        <v>1828966.3204256142</v>
      </c>
      <c r="BM25" s="125">
        <f t="shared" si="59"/>
        <v>418628.87718364608</v>
      </c>
      <c r="BN25" s="115" t="s">
        <v>8</v>
      </c>
      <c r="BO25" s="123" t="s">
        <v>8</v>
      </c>
      <c r="BP25" s="126">
        <f t="shared" si="60"/>
        <v>0.66748145000904557</v>
      </c>
      <c r="BQ25" s="124">
        <f t="shared" si="61"/>
        <v>2.0816637447038322E-2</v>
      </c>
      <c r="BR25" s="46">
        <f t="shared" si="62"/>
        <v>1654801.765074126</v>
      </c>
      <c r="BS25" s="127">
        <f t="shared" si="63"/>
        <v>0</v>
      </c>
      <c r="BT25" s="115" t="s">
        <v>8</v>
      </c>
      <c r="BU25" s="123" t="s">
        <v>8</v>
      </c>
      <c r="BV25" s="126">
        <f t="shared" si="64"/>
        <v>0.66748145000904557</v>
      </c>
      <c r="BW25" s="124">
        <f t="shared" si="65"/>
        <v>2.0816637447038322E-2</v>
      </c>
      <c r="BX25" s="46">
        <f t="shared" si="66"/>
        <v>1654801.765074126</v>
      </c>
      <c r="BY25" s="127">
        <f t="shared" si="67"/>
        <v>0</v>
      </c>
      <c r="BZ25" s="115" t="s">
        <v>8</v>
      </c>
      <c r="CA25" s="123" t="s">
        <v>8</v>
      </c>
      <c r="CB25" s="126">
        <f t="shared" si="68"/>
        <v>0.66748145000904557</v>
      </c>
      <c r="CC25" s="124">
        <f t="shared" si="69"/>
        <v>2.0816637447038322E-2</v>
      </c>
      <c r="CD25" s="46">
        <f t="shared" si="70"/>
        <v>1654801.765074126</v>
      </c>
      <c r="CE25" s="127">
        <f t="shared" si="71"/>
        <v>0</v>
      </c>
      <c r="CF25" s="115" t="s">
        <v>8</v>
      </c>
      <c r="CG25" s="123" t="s">
        <v>8</v>
      </c>
      <c r="CH25" s="126">
        <f t="shared" si="72"/>
        <v>0.66748145000904557</v>
      </c>
      <c r="CI25" s="124">
        <f t="shared" si="73"/>
        <v>2.0816637447038322E-2</v>
      </c>
      <c r="CJ25" s="46">
        <f t="shared" si="74"/>
        <v>1654801.765074126</v>
      </c>
      <c r="CK25" s="127">
        <f t="shared" si="75"/>
        <v>0</v>
      </c>
      <c r="CL25" s="115" t="s">
        <v>8</v>
      </c>
      <c r="CM25" s="123" t="s">
        <v>8</v>
      </c>
      <c r="CN25" s="126">
        <f t="shared" si="76"/>
        <v>0.66748145000904557</v>
      </c>
      <c r="CO25" s="124">
        <f t="shared" si="77"/>
        <v>2.0816637447038322E-2</v>
      </c>
      <c r="CP25" s="46">
        <f t="shared" si="78"/>
        <v>1654801.765074126</v>
      </c>
      <c r="CQ25" s="127">
        <f t="shared" si="79"/>
        <v>0</v>
      </c>
      <c r="CR25" s="115" t="s">
        <v>8</v>
      </c>
      <c r="CS25" s="123" t="s">
        <v>8</v>
      </c>
      <c r="CT25" s="126">
        <f t="shared" si="80"/>
        <v>0.66748145000904557</v>
      </c>
      <c r="CU25" s="124">
        <f t="shared" si="81"/>
        <v>2.0816637447038322E-2</v>
      </c>
      <c r="CV25" s="46">
        <f t="shared" si="82"/>
        <v>1654801.765074126</v>
      </c>
      <c r="CW25" s="127">
        <f t="shared" si="83"/>
        <v>0</v>
      </c>
      <c r="CX25" s="115" t="s">
        <v>8</v>
      </c>
      <c r="CY25" s="123" t="s">
        <v>8</v>
      </c>
      <c r="CZ25" s="126">
        <f t="shared" si="84"/>
        <v>0.66748145000904557</v>
      </c>
      <c r="DA25" s="124">
        <f t="shared" si="85"/>
        <v>2.0816637447038322E-2</v>
      </c>
      <c r="DB25" s="46">
        <f t="shared" si="86"/>
        <v>1654801.765074126</v>
      </c>
      <c r="DC25" s="127">
        <f t="shared" si="87"/>
        <v>0</v>
      </c>
      <c r="DD25" s="115" t="s">
        <v>8</v>
      </c>
      <c r="DE25" s="123" t="s">
        <v>8</v>
      </c>
      <c r="DF25" s="126">
        <f t="shared" si="88"/>
        <v>0.66748145000904557</v>
      </c>
      <c r="DG25" s="124">
        <f t="shared" si="89"/>
        <v>2.0816637447038322E-2</v>
      </c>
      <c r="DH25" s="46">
        <f t="shared" si="90"/>
        <v>1654801.765074126</v>
      </c>
      <c r="DI25" s="127">
        <f t="shared" si="91"/>
        <v>0</v>
      </c>
      <c r="DJ25" s="115" t="s">
        <v>8</v>
      </c>
      <c r="DK25" s="123" t="s">
        <v>8</v>
      </c>
      <c r="DL25" s="126">
        <f t="shared" si="92"/>
        <v>0.66748145000904557</v>
      </c>
      <c r="DM25" s="124">
        <f t="shared" si="93"/>
        <v>2.0816637447038322E-2</v>
      </c>
      <c r="DN25" s="46">
        <f t="shared" si="94"/>
        <v>1654801.765074126</v>
      </c>
      <c r="DO25" s="127">
        <f t="shared" si="95"/>
        <v>0</v>
      </c>
      <c r="DP25" s="115" t="s">
        <v>8</v>
      </c>
      <c r="DQ25" s="123" t="s">
        <v>8</v>
      </c>
      <c r="DR25" s="126">
        <f t="shared" si="96"/>
        <v>0.66748145000904557</v>
      </c>
      <c r="DS25" s="124">
        <f t="shared" si="97"/>
        <v>2.0816637447038322E-2</v>
      </c>
      <c r="DT25" s="46">
        <f t="shared" si="98"/>
        <v>1654801.765074126</v>
      </c>
      <c r="DU25" s="127">
        <f t="shared" si="99"/>
        <v>0</v>
      </c>
      <c r="DV25" s="115" t="s">
        <v>8</v>
      </c>
      <c r="DW25" s="123" t="s">
        <v>8</v>
      </c>
      <c r="DX25" s="30">
        <f t="shared" si="100"/>
        <v>0.66748145000904557</v>
      </c>
      <c r="DY25" s="124">
        <f t="shared" si="101"/>
        <v>2.0816637447038322E-2</v>
      </c>
      <c r="DZ25" s="29">
        <f t="shared" si="102"/>
        <v>1654801.765074126</v>
      </c>
      <c r="EA25" s="125">
        <f t="shared" si="103"/>
        <v>0</v>
      </c>
      <c r="EB25" s="115" t="s">
        <v>8</v>
      </c>
      <c r="EC25" s="123" t="s">
        <v>8</v>
      </c>
      <c r="ED25" s="30">
        <f t="shared" si="104"/>
        <v>0.66748145000904557</v>
      </c>
      <c r="EE25" s="124">
        <f t="shared" si="105"/>
        <v>2.0816637447038322E-2</v>
      </c>
      <c r="EF25" s="29">
        <f t="shared" si="106"/>
        <v>1654801.765074126</v>
      </c>
      <c r="EG25" s="125">
        <f t="shared" si="107"/>
        <v>0</v>
      </c>
      <c r="EH25" s="115" t="s">
        <v>8</v>
      </c>
      <c r="EI25" s="123" t="s">
        <v>8</v>
      </c>
      <c r="EJ25" s="30">
        <f t="shared" si="108"/>
        <v>0.66748145000904557</v>
      </c>
      <c r="EK25" s="124">
        <f t="shared" si="109"/>
        <v>2.0816637447038322E-2</v>
      </c>
      <c r="EL25" s="29">
        <f t="shared" si="110"/>
        <v>1654801.765074126</v>
      </c>
      <c r="EM25" s="125">
        <f t="shared" si="111"/>
        <v>0</v>
      </c>
      <c r="EN25" s="115" t="s">
        <v>8</v>
      </c>
      <c r="EO25" s="123" t="s">
        <v>8</v>
      </c>
      <c r="EP25" s="30">
        <f t="shared" si="112"/>
        <v>0.66748145000904557</v>
      </c>
      <c r="EQ25" s="124">
        <f t="shared" si="113"/>
        <v>2.0816637447038322E-2</v>
      </c>
      <c r="ER25" s="29">
        <f t="shared" si="114"/>
        <v>1654801.765074126</v>
      </c>
      <c r="ES25" s="125">
        <f t="shared" si="115"/>
        <v>0</v>
      </c>
      <c r="ET25" s="115" t="s">
        <v>8</v>
      </c>
      <c r="EU25" s="123" t="s">
        <v>8</v>
      </c>
      <c r="EV25" s="30">
        <f t="shared" si="116"/>
        <v>0.66748145000904557</v>
      </c>
      <c r="EW25" s="124">
        <f t="shared" si="117"/>
        <v>2.0816637447038322E-2</v>
      </c>
      <c r="EX25" s="29">
        <f t="shared" si="118"/>
        <v>1654801.765074126</v>
      </c>
      <c r="EY25" s="125">
        <f t="shared" si="119"/>
        <v>0</v>
      </c>
      <c r="EZ25" s="115" t="s">
        <v>8</v>
      </c>
      <c r="FA25" s="123" t="s">
        <v>8</v>
      </c>
      <c r="FB25" s="30">
        <f t="shared" si="120"/>
        <v>0.66748145000904557</v>
      </c>
      <c r="FC25" s="124">
        <f t="shared" si="121"/>
        <v>2.0816637447038322E-2</v>
      </c>
      <c r="FD25" s="29">
        <f t="shared" si="122"/>
        <v>1654801.765074126</v>
      </c>
      <c r="FE25" s="125">
        <f t="shared" si="123"/>
        <v>0</v>
      </c>
      <c r="FF25" s="115" t="s">
        <v>8</v>
      </c>
      <c r="FG25" s="123" t="s">
        <v>8</v>
      </c>
      <c r="FH25" s="30">
        <f t="shared" si="124"/>
        <v>0.66748145000904557</v>
      </c>
      <c r="FI25" s="124">
        <f t="shared" si="125"/>
        <v>2.0816637447038322E-2</v>
      </c>
      <c r="FJ25" s="29">
        <f t="shared" si="126"/>
        <v>1654801.765074126</v>
      </c>
      <c r="FK25" s="125">
        <f t="shared" si="127"/>
        <v>0</v>
      </c>
      <c r="FL25" s="115" t="s">
        <v>8</v>
      </c>
      <c r="FM25" s="123" t="s">
        <v>8</v>
      </c>
      <c r="FN25" s="30">
        <f t="shared" si="128"/>
        <v>0.66748145000904557</v>
      </c>
      <c r="FO25" s="124">
        <f t="shared" si="129"/>
        <v>2.0816637447038322E-2</v>
      </c>
      <c r="FP25" s="29">
        <f t="shared" si="130"/>
        <v>1654801.765074126</v>
      </c>
      <c r="FQ25" s="125">
        <f t="shared" si="131"/>
        <v>0</v>
      </c>
      <c r="FR25" s="115" t="s">
        <v>8</v>
      </c>
      <c r="FS25" s="123" t="s">
        <v>8</v>
      </c>
      <c r="FT25" s="30">
        <f t="shared" si="132"/>
        <v>0.66748145000904557</v>
      </c>
      <c r="FU25" s="124">
        <f t="shared" si="133"/>
        <v>2.0816637447038322E-2</v>
      </c>
      <c r="FV25" s="29">
        <f t="shared" si="134"/>
        <v>1654801.765074126</v>
      </c>
      <c r="FW25" s="125">
        <f t="shared" si="135"/>
        <v>0</v>
      </c>
      <c r="FX25" s="115" t="s">
        <v>8</v>
      </c>
      <c r="FY25" s="123" t="s">
        <v>8</v>
      </c>
      <c r="FZ25" s="30">
        <f t="shared" si="136"/>
        <v>0.66748145000904557</v>
      </c>
      <c r="GA25" s="124">
        <f t="shared" si="137"/>
        <v>2.0816637447038322E-2</v>
      </c>
      <c r="GB25" s="29">
        <f t="shared" si="138"/>
        <v>1654801.765074126</v>
      </c>
      <c r="GC25" s="125">
        <f t="shared" si="139"/>
        <v>0</v>
      </c>
      <c r="GD25" s="115" t="s">
        <v>8</v>
      </c>
      <c r="GE25" s="123" t="s">
        <v>8</v>
      </c>
      <c r="GF25" s="30">
        <f t="shared" si="140"/>
        <v>0.66748145000904557</v>
      </c>
      <c r="GG25" s="124">
        <f t="shared" si="141"/>
        <v>2.0816637447038322E-2</v>
      </c>
      <c r="GH25" s="29">
        <f t="shared" si="142"/>
        <v>1654801.765074126</v>
      </c>
      <c r="GI25" s="127">
        <f t="shared" si="143"/>
        <v>0</v>
      </c>
      <c r="GJ25" s="142">
        <f t="shared" si="146"/>
        <v>3677505.9154502028</v>
      </c>
      <c r="GK25" s="238">
        <f t="shared" si="144"/>
        <v>4538419.4284773031</v>
      </c>
      <c r="GL25" s="196">
        <f t="shared" si="145"/>
        <v>0.66748145000904557</v>
      </c>
      <c r="GM25" s="86">
        <v>4538419.43</v>
      </c>
    </row>
    <row r="26" spans="1:195" s="24" customFormat="1" ht="16.5" thickBot="1" x14ac:dyDescent="0.3">
      <c r="A26" s="90" t="s">
        <v>6</v>
      </c>
      <c r="B26" s="110">
        <v>34034128</v>
      </c>
      <c r="C26" s="108">
        <v>5</v>
      </c>
      <c r="D26" s="74">
        <f>B26*C26/100</f>
        <v>1701706.4</v>
      </c>
      <c r="E26" s="97">
        <f>100-C26</f>
        <v>95</v>
      </c>
      <c r="F26" s="74">
        <f>B26-D26</f>
        <v>32332421.600000001</v>
      </c>
      <c r="G26" s="96">
        <f>SUM(G9:G25)</f>
        <v>19114</v>
      </c>
      <c r="H26" s="96">
        <f>SUM(H9:H25)</f>
        <v>34067658</v>
      </c>
      <c r="I26" s="38" t="s">
        <v>8</v>
      </c>
      <c r="J26" s="149">
        <f>H26/G26</f>
        <v>1782.3405880506434</v>
      </c>
      <c r="K26" s="107" t="s">
        <v>8</v>
      </c>
      <c r="L26" s="71">
        <f>SUM(L9:L25)</f>
        <v>1701706.4</v>
      </c>
      <c r="M26" s="67" t="s">
        <v>8</v>
      </c>
      <c r="N26" s="39">
        <f>(SUMIF(M9:M25,"&lt;1")+1)/(COUNTIFS(M9:M25,"&lt;1")+1)</f>
        <v>0.27095711401738387</v>
      </c>
      <c r="O26" s="40" t="s">
        <v>8</v>
      </c>
      <c r="P26" s="37">
        <f>SUM(P9:P25)</f>
        <v>5172277.1074638255</v>
      </c>
      <c r="Q26" s="37">
        <f>SUM(Q9:Q25)</f>
        <v>5172277.1074638255</v>
      </c>
      <c r="R26" s="79">
        <f>F26-Q26</f>
        <v>27160144.492536176</v>
      </c>
      <c r="S26" s="39">
        <f>(SUMIF(T9:T25,"&lt;1")+1)/(COUNTIFS(T9:T25,"&lt;1")+1)</f>
        <v>0.34562134103003633</v>
      </c>
      <c r="T26" s="40" t="s">
        <v>8</v>
      </c>
      <c r="U26" s="40" t="s">
        <v>8</v>
      </c>
      <c r="V26" s="37">
        <f>SUM(V9:V25)</f>
        <v>4412062.8517897706</v>
      </c>
      <c r="W26" s="37">
        <f>SUM(W9:W25)</f>
        <v>4412062.8517897706</v>
      </c>
      <c r="X26" s="79">
        <f>R26-W26</f>
        <v>22748081.640746407</v>
      </c>
      <c r="Y26" s="39">
        <f>(SUMIF(Z9:Z25,"&lt;1")+1)/(COUNTIFS(Z9:Z25,"&lt;1")+1)</f>
        <v>0.40966733255237259</v>
      </c>
      <c r="Z26" s="40" t="s">
        <v>8</v>
      </c>
      <c r="AA26" s="40" t="s">
        <v>8</v>
      </c>
      <c r="AB26" s="37">
        <f>SUM(AB9:AB25)</f>
        <v>3948427.1210893765</v>
      </c>
      <c r="AC26" s="37">
        <f>SUM(AC9:AC25)</f>
        <v>3948427.1210893765</v>
      </c>
      <c r="AD26" s="79">
        <f>X26-AC26</f>
        <v>18799654.519657031</v>
      </c>
      <c r="AE26" s="39">
        <f>(SUMIF(AF9:AF25,"&lt;1")+1)/(COUNTIFS(AF9:AF25,"&lt;1")+1)</f>
        <v>0.46640465990268865</v>
      </c>
      <c r="AF26" s="40" t="s">
        <v>8</v>
      </c>
      <c r="AG26" s="40" t="s">
        <v>8</v>
      </c>
      <c r="AH26" s="37">
        <f>SUM(AH9:AH25)</f>
        <v>3601490.6495008073</v>
      </c>
      <c r="AI26" s="37">
        <f>SUM(AI9:AI25)</f>
        <v>3601490.6495008073</v>
      </c>
      <c r="AJ26" s="79">
        <f>AD26-AI26</f>
        <v>15198163.870156223</v>
      </c>
      <c r="AK26" s="39">
        <f>(SUMIF(AL9:AL25,"&lt;1")+1)/(COUNTIFS(AL9:AL25,"&lt;1")+1)</f>
        <v>0.51803652953516721</v>
      </c>
      <c r="AL26" s="40" t="s">
        <v>8</v>
      </c>
      <c r="AM26" s="40" t="s">
        <v>8</v>
      </c>
      <c r="AN26" s="37">
        <f>SUM(AN9:AN25)</f>
        <v>3244245.7132198829</v>
      </c>
      <c r="AO26" s="37">
        <f>SUM(AO9:AO25)</f>
        <v>3244245.7132198829</v>
      </c>
      <c r="AP26" s="79">
        <f>AJ26-AO26</f>
        <v>11953918.15693634</v>
      </c>
      <c r="AQ26" s="39">
        <f>(SUMIF(AR9:AR25,"&lt;1")+1)/(COUNTIFS(AR9:AR25,"&lt;1")+1)</f>
        <v>0.56453129091336263</v>
      </c>
      <c r="AR26" s="40" t="s">
        <v>8</v>
      </c>
      <c r="AS26" s="40" t="s">
        <v>8</v>
      </c>
      <c r="AT26" s="37">
        <f>SUM(AT9:AT25)</f>
        <v>2848538.6145765111</v>
      </c>
      <c r="AU26" s="74">
        <f>SUM(AU9:AU25)</f>
        <v>2848538.6145765111</v>
      </c>
      <c r="AV26" s="79">
        <f>AP26-AU26</f>
        <v>9105379.5423598289</v>
      </c>
      <c r="AW26" s="39">
        <f>(SUMIF(AX9:AX25,"&lt;1")+1)/(COUNTIFS(AX9:AX25,"&lt;1")+1)</f>
        <v>0.60536291326093816</v>
      </c>
      <c r="AX26" s="40" t="s">
        <v>8</v>
      </c>
      <c r="AY26" s="40" t="s">
        <v>8</v>
      </c>
      <c r="AZ26" s="37">
        <f>SUM(AZ9:AZ25)</f>
        <v>4535951.0822922084</v>
      </c>
      <c r="BA26" s="37">
        <f>SUM(BA9:BA25)</f>
        <v>4535951.0822922084</v>
      </c>
      <c r="BB26" s="79">
        <f>AV26-BA26</f>
        <v>4569428.4600676205</v>
      </c>
      <c r="BC26" s="39">
        <f>(SUMIF(BD9:BD25,"&lt;1")+1)/(COUNTIFS(BD9:BD25,"&lt;1")+1)</f>
        <v>0.64333012214163199</v>
      </c>
      <c r="BD26" s="40" t="s">
        <v>8</v>
      </c>
      <c r="BE26" s="40" t="s">
        <v>8</v>
      </c>
      <c r="BF26" s="37">
        <f>SUM(BF9:BF25)</f>
        <v>3632367.9725834741</v>
      </c>
      <c r="BG26" s="37">
        <f>SUM(BG9:BG25)</f>
        <v>3632367.9725834741</v>
      </c>
      <c r="BH26" s="79">
        <f>BB26-BG26</f>
        <v>937060.48748414638</v>
      </c>
      <c r="BI26" s="39">
        <f>(SUMIF(BJ9:BJ25,"&lt;1")+1)/(COUNTIFS(BJ9:BJ25,"&lt;1")+1)</f>
        <v>0.68028285994197224</v>
      </c>
      <c r="BJ26" s="40" t="s">
        <v>8</v>
      </c>
      <c r="BK26" s="40" t="s">
        <v>8</v>
      </c>
      <c r="BL26" s="37">
        <f>SUM(BL9:BL25)</f>
        <v>4093965.2403822849</v>
      </c>
      <c r="BM26" s="37">
        <f>SUM(BM9:BM25)</f>
        <v>937060.48748414638</v>
      </c>
      <c r="BN26" s="79">
        <f>BH26-BM26</f>
        <v>0</v>
      </c>
      <c r="BO26" s="39">
        <f>(SUMIF(BP9:BP25,"&lt;1")+1)/(COUNTIFS(BP9:BP25,"&lt;1")+1)</f>
        <v>0.6882980874560839</v>
      </c>
      <c r="BP26" s="40" t="s">
        <v>8</v>
      </c>
      <c r="BQ26" s="40" t="s">
        <v>8</v>
      </c>
      <c r="BR26" s="37">
        <f>SUM(BR9:BR25)</f>
        <v>3908710.4577278667</v>
      </c>
      <c r="BS26" s="37">
        <f>SUM(BS9:BS25)</f>
        <v>0</v>
      </c>
      <c r="BT26" s="79">
        <f>BN26-BS26</f>
        <v>0</v>
      </c>
      <c r="BU26" s="39">
        <f>(SUMIF(BV9:BV25,"&lt;1")+1)/(COUNTIFS(BV9:BV25,"&lt;1")+1)</f>
        <v>0.6882980874560839</v>
      </c>
      <c r="BV26" s="40" t="s">
        <v>8</v>
      </c>
      <c r="BW26" s="40" t="s">
        <v>8</v>
      </c>
      <c r="BX26" s="37">
        <f>SUM(BX9:BX25)</f>
        <v>3908710.4577278667</v>
      </c>
      <c r="BY26" s="37">
        <f>SUM(BY9:BY25)</f>
        <v>0</v>
      </c>
      <c r="BZ26" s="79">
        <f>BT26-BY26</f>
        <v>0</v>
      </c>
      <c r="CA26" s="39">
        <f>(SUMIF(CB9:CB25,"&lt;1")+1)/(COUNTIFS(CB9:CB25,"&lt;1")+1)</f>
        <v>0.6882980874560839</v>
      </c>
      <c r="CB26" s="40" t="s">
        <v>8</v>
      </c>
      <c r="CC26" s="40" t="s">
        <v>8</v>
      </c>
      <c r="CD26" s="37">
        <f>SUM(CD9:CD25)</f>
        <v>3908710.4577278667</v>
      </c>
      <c r="CE26" s="37">
        <f>SUM(CE9:CE25)</f>
        <v>0</v>
      </c>
      <c r="CF26" s="79">
        <f>BZ26-CE26</f>
        <v>0</v>
      </c>
      <c r="CG26" s="39">
        <f>(SUMIF(CH9:CH25,"&lt;1")+1)/(COUNTIFS(CH9:CH25,"&lt;1")+1)</f>
        <v>0.6882980874560839</v>
      </c>
      <c r="CH26" s="40" t="s">
        <v>8</v>
      </c>
      <c r="CI26" s="40" t="s">
        <v>8</v>
      </c>
      <c r="CJ26" s="37">
        <f>SUM(CJ9:CJ25)</f>
        <v>3908710.4577278667</v>
      </c>
      <c r="CK26" s="37">
        <f>SUM(CK9:CK25)</f>
        <v>0</v>
      </c>
      <c r="CL26" s="79">
        <f>CF26-CK26</f>
        <v>0</v>
      </c>
      <c r="CM26" s="39">
        <f>(SUMIF(CN9:CN25,"&lt;1")+1)/(COUNTIFS(CN9:CN25,"&lt;1")+1)</f>
        <v>0.6882980874560839</v>
      </c>
      <c r="CN26" s="40" t="s">
        <v>8</v>
      </c>
      <c r="CO26" s="40" t="s">
        <v>8</v>
      </c>
      <c r="CP26" s="37">
        <f>SUM(CP9:CP25)</f>
        <v>3908710.4577278667</v>
      </c>
      <c r="CQ26" s="37">
        <f>SUM(CQ9:CQ25)</f>
        <v>0</v>
      </c>
      <c r="CR26" s="79">
        <f>CL26-CQ26</f>
        <v>0</v>
      </c>
      <c r="CS26" s="39">
        <f>(SUMIF(CT9:CT25,"&lt;1")+1)/(COUNTIFS(CT9:CT25,"&lt;1")+1)</f>
        <v>0.6882980874560839</v>
      </c>
      <c r="CT26" s="40" t="s">
        <v>8</v>
      </c>
      <c r="CU26" s="40" t="s">
        <v>8</v>
      </c>
      <c r="CV26" s="37">
        <f>SUM(CV9:CV25)</f>
        <v>3908710.4577278667</v>
      </c>
      <c r="CW26" s="37">
        <f>SUM(CW9:CW25)</f>
        <v>0</v>
      </c>
      <c r="CX26" s="79">
        <f>CR26-CW26</f>
        <v>0</v>
      </c>
      <c r="CY26" s="39">
        <f>(SUMIF(CZ9:CZ25,"&lt;1")+1)/(COUNTIFS(CZ9:CZ25,"&lt;1")+1)</f>
        <v>0.6882980874560839</v>
      </c>
      <c r="CZ26" s="40" t="s">
        <v>8</v>
      </c>
      <c r="DA26" s="40" t="s">
        <v>8</v>
      </c>
      <c r="DB26" s="37">
        <f>SUM(DB9:DB25)</f>
        <v>3908710.4577278667</v>
      </c>
      <c r="DC26" s="37">
        <f>SUM(DC9:DC25)</f>
        <v>0</v>
      </c>
      <c r="DD26" s="79">
        <f>CX26-DC26</f>
        <v>0</v>
      </c>
      <c r="DE26" s="39">
        <f>(SUMIF(DF9:DF25,"&lt;1")+1)/(COUNTIFS(DF9:DF25,"&lt;1")+1)</f>
        <v>0.6882980874560839</v>
      </c>
      <c r="DF26" s="40" t="s">
        <v>8</v>
      </c>
      <c r="DG26" s="40" t="s">
        <v>8</v>
      </c>
      <c r="DH26" s="37">
        <f>SUM(DH9:DH25)</f>
        <v>3908710.4577278667</v>
      </c>
      <c r="DI26" s="37">
        <f>SUM(DI9:DI25)</f>
        <v>0</v>
      </c>
      <c r="DJ26" s="79">
        <f>DD26-DI26</f>
        <v>0</v>
      </c>
      <c r="DK26" s="39">
        <f>(SUMIF(DL9:DL25,"&lt;1")+1)/(COUNTIFS(DL9:DL25,"&lt;1")+1)</f>
        <v>0.6882980874560839</v>
      </c>
      <c r="DL26" s="40" t="s">
        <v>8</v>
      </c>
      <c r="DM26" s="40" t="s">
        <v>8</v>
      </c>
      <c r="DN26" s="37">
        <f>SUM(DN9:DN25)</f>
        <v>3908710.4577278667</v>
      </c>
      <c r="DO26" s="37">
        <f>SUM(DO9:DO25)</f>
        <v>0</v>
      </c>
      <c r="DP26" s="79">
        <f>DJ26-DO26</f>
        <v>0</v>
      </c>
      <c r="DQ26" s="39">
        <f>(SUMIF(DR9:DR25,"&lt;1")+1)/(COUNTIFS(DR9:DR25,"&lt;1")+1)</f>
        <v>0.6882980874560839</v>
      </c>
      <c r="DR26" s="40" t="s">
        <v>8</v>
      </c>
      <c r="DS26" s="40" t="s">
        <v>8</v>
      </c>
      <c r="DT26" s="37">
        <f>SUM(DT9:DT25)</f>
        <v>3908710.4577278667</v>
      </c>
      <c r="DU26" s="37">
        <f>SUM(DU9:DU25)</f>
        <v>0</v>
      </c>
      <c r="DV26" s="79">
        <f>DP26-DU26</f>
        <v>0</v>
      </c>
      <c r="DW26" s="39">
        <f>(SUMIF(DX9:DX25,"&lt;1")+1)/(COUNTIFS(DX9:DX25,"&lt;1")+1)</f>
        <v>0.6882980874560839</v>
      </c>
      <c r="DX26" s="40" t="s">
        <v>8</v>
      </c>
      <c r="DY26" s="40" t="s">
        <v>8</v>
      </c>
      <c r="DZ26" s="128">
        <f>SUM(DZ9:DZ25)</f>
        <v>3908710.4577278667</v>
      </c>
      <c r="EA26" s="37">
        <f>SUM(EA9:EA25)</f>
        <v>0</v>
      </c>
      <c r="EB26" s="79">
        <f>DV26-EA26</f>
        <v>0</v>
      </c>
      <c r="EC26" s="39">
        <f>(SUMIF(ED9:ED25,"&lt;1")+1)/(COUNTIFS(ED9:ED25,"&lt;1")+1)</f>
        <v>0.6882980874560839</v>
      </c>
      <c r="ED26" s="40" t="s">
        <v>8</v>
      </c>
      <c r="EE26" s="40" t="s">
        <v>8</v>
      </c>
      <c r="EF26" s="128">
        <f>SUM(EF9:EF25)</f>
        <v>3908710.4577278667</v>
      </c>
      <c r="EG26" s="37">
        <f>SUM(EG9:EG25)</f>
        <v>0</v>
      </c>
      <c r="EH26" s="79">
        <f>EB26-EG26</f>
        <v>0</v>
      </c>
      <c r="EI26" s="39">
        <f>(SUMIF(EJ9:EJ25,"&lt;1")+1)/(COUNTIFS(EJ9:EJ25,"&lt;1")+1)</f>
        <v>0.6882980874560839</v>
      </c>
      <c r="EJ26" s="40" t="s">
        <v>8</v>
      </c>
      <c r="EK26" s="40" t="s">
        <v>8</v>
      </c>
      <c r="EL26" s="128">
        <f>SUM(EL9:EL25)</f>
        <v>3908710.4577278667</v>
      </c>
      <c r="EM26" s="37">
        <f>SUM(EM9:EM25)</f>
        <v>0</v>
      </c>
      <c r="EN26" s="79">
        <f>EH26-EM26</f>
        <v>0</v>
      </c>
      <c r="EO26" s="39">
        <f>(SUMIF(EP9:EP25,"&lt;1")+1)/(COUNTIFS(EP9:EP25,"&lt;1")+1)</f>
        <v>0.6882980874560839</v>
      </c>
      <c r="EP26" s="40" t="s">
        <v>8</v>
      </c>
      <c r="EQ26" s="40" t="s">
        <v>8</v>
      </c>
      <c r="ER26" s="128">
        <f>SUM(ER9:ER25)</f>
        <v>3908710.4577278667</v>
      </c>
      <c r="ES26" s="37">
        <f>SUM(ES9:ES25)</f>
        <v>0</v>
      </c>
      <c r="ET26" s="79">
        <f>EN26-ES26</f>
        <v>0</v>
      </c>
      <c r="EU26" s="39">
        <f>(SUMIF(EV9:EV25,"&lt;1")+1)/(COUNTIFS(EV9:EV25,"&lt;1")+1)</f>
        <v>0.6882980874560839</v>
      </c>
      <c r="EV26" s="40" t="s">
        <v>8</v>
      </c>
      <c r="EW26" s="40" t="s">
        <v>8</v>
      </c>
      <c r="EX26" s="128">
        <f>SUM(EX9:EX25)</f>
        <v>3908710.4577278667</v>
      </c>
      <c r="EY26" s="37">
        <f>SUM(EY9:EY25)</f>
        <v>0</v>
      </c>
      <c r="EZ26" s="79">
        <f>ET26-EY26</f>
        <v>0</v>
      </c>
      <c r="FA26" s="39">
        <f>(SUMIF(FB9:FB25,"&lt;1")+1)/(COUNTIFS(FB9:FB25,"&lt;1")+1)</f>
        <v>0.6882980874560839</v>
      </c>
      <c r="FB26" s="40" t="s">
        <v>8</v>
      </c>
      <c r="FC26" s="40" t="s">
        <v>8</v>
      </c>
      <c r="FD26" s="128">
        <f>SUM(FD9:FD25)</f>
        <v>3908710.4577278667</v>
      </c>
      <c r="FE26" s="37">
        <f>SUM(FE9:FE25)</f>
        <v>0</v>
      </c>
      <c r="FF26" s="79">
        <f>EZ26-FE26</f>
        <v>0</v>
      </c>
      <c r="FG26" s="39">
        <f>(SUMIF(FH9:FH25,"&lt;1")+1)/(COUNTIFS(FH9:FH25,"&lt;1")+1)</f>
        <v>0.6882980874560839</v>
      </c>
      <c r="FH26" s="40" t="s">
        <v>8</v>
      </c>
      <c r="FI26" s="40" t="s">
        <v>8</v>
      </c>
      <c r="FJ26" s="128">
        <f>SUM(FJ9:FJ25)</f>
        <v>3908710.4577278667</v>
      </c>
      <c r="FK26" s="37">
        <f>SUM(FK9:FK25)</f>
        <v>0</v>
      </c>
      <c r="FL26" s="79">
        <f>FF26-FK26</f>
        <v>0</v>
      </c>
      <c r="FM26" s="39">
        <f>(SUMIF(FN9:FN25,"&lt;1")+1)/(COUNTIFS(FN9:FN25,"&lt;1")+1)</f>
        <v>0.6882980874560839</v>
      </c>
      <c r="FN26" s="40" t="s">
        <v>8</v>
      </c>
      <c r="FO26" s="40" t="s">
        <v>8</v>
      </c>
      <c r="FP26" s="128">
        <f>SUM(FP9:FP25)</f>
        <v>3908710.4577278667</v>
      </c>
      <c r="FQ26" s="37">
        <f>SUM(FQ9:FQ25)</f>
        <v>0</v>
      </c>
      <c r="FR26" s="79">
        <f>FL26-FQ26</f>
        <v>0</v>
      </c>
      <c r="FS26" s="39">
        <f>(SUMIF(FT9:FT25,"&lt;1")+1)/(COUNTIFS(FT9:FT25,"&lt;1")+1)</f>
        <v>0.6882980874560839</v>
      </c>
      <c r="FT26" s="40" t="s">
        <v>8</v>
      </c>
      <c r="FU26" s="40" t="s">
        <v>8</v>
      </c>
      <c r="FV26" s="128">
        <f>SUM(FV9:FV25)</f>
        <v>3908710.4577278667</v>
      </c>
      <c r="FW26" s="37">
        <f>SUM(FW9:FW25)</f>
        <v>0</v>
      </c>
      <c r="FX26" s="79">
        <f>FR26-FW26</f>
        <v>0</v>
      </c>
      <c r="FY26" s="39">
        <f>(SUMIF(FZ9:FZ25,"&lt;1")+1)/(COUNTIFS(FZ9:FZ25,"&lt;1")+1)</f>
        <v>0.6882980874560839</v>
      </c>
      <c r="FZ26" s="40" t="s">
        <v>8</v>
      </c>
      <c r="GA26" s="40" t="s">
        <v>8</v>
      </c>
      <c r="GB26" s="128">
        <f>SUM(GB9:GB25)</f>
        <v>3908710.4577278667</v>
      </c>
      <c r="GC26" s="37">
        <f>SUM(GC9:GC25)</f>
        <v>0</v>
      </c>
      <c r="GD26" s="79">
        <f>FX26-GC26</f>
        <v>0</v>
      </c>
      <c r="GE26" s="39">
        <f>(SUMIF(GF9:GF25,"&lt;1")+1)/(COUNTIFS(GF9:GF25,"&lt;1")+1)</f>
        <v>0.6882980874560839</v>
      </c>
      <c r="GF26" s="40" t="s">
        <v>8</v>
      </c>
      <c r="GG26" s="40" t="s">
        <v>8</v>
      </c>
      <c r="GH26" s="128">
        <f>SUM(GH9:GH25)</f>
        <v>3908710.4577278667</v>
      </c>
      <c r="GI26" s="37">
        <f>SUM(GI9:GI25)</f>
        <v>0</v>
      </c>
      <c r="GJ26" s="155">
        <f>SUM(GJ9:GJ25)</f>
        <v>32332421.599999998</v>
      </c>
      <c r="GK26" s="243">
        <f t="shared" si="144"/>
        <v>34034128</v>
      </c>
      <c r="GL26" s="197" t="s">
        <v>8</v>
      </c>
      <c r="GM26" s="157">
        <f>SUM(GM9:GM25)</f>
        <v>34034128</v>
      </c>
    </row>
    <row r="28" spans="1:195" x14ac:dyDescent="0.2">
      <c r="P28" s="19"/>
    </row>
    <row r="30" spans="1:195" x14ac:dyDescent="0.2">
      <c r="GJ30" s="114"/>
      <c r="GK30" s="114"/>
      <c r="GM30" s="114"/>
    </row>
    <row r="31" spans="1:195" x14ac:dyDescent="0.2">
      <c r="M31" s="18"/>
    </row>
  </sheetData>
  <protectedRanges>
    <protectedRange sqref="A9:A25" name="Диапазон3_1_1"/>
    <protectedRange sqref="A9:A25" name="Диапазон2_1_1"/>
  </protectedRanges>
  <mergeCells count="50">
    <mergeCell ref="AV4:BA4"/>
    <mergeCell ref="BB4:BG4"/>
    <mergeCell ref="GM3:GM5"/>
    <mergeCell ref="BH4:BM4"/>
    <mergeCell ref="A3:A6"/>
    <mergeCell ref="B3:B5"/>
    <mergeCell ref="C3:F3"/>
    <mergeCell ref="G3:J3"/>
    <mergeCell ref="FX4:GC4"/>
    <mergeCell ref="GD4:GI4"/>
    <mergeCell ref="FF4:FK4"/>
    <mergeCell ref="FL4:FQ4"/>
    <mergeCell ref="FR4:FW4"/>
    <mergeCell ref="EZ4:FE4"/>
    <mergeCell ref="DD4:DI4"/>
    <mergeCell ref="DJ4:DO4"/>
    <mergeCell ref="C5:D5"/>
    <mergeCell ref="E5:F5"/>
    <mergeCell ref="AJ4:AO4"/>
    <mergeCell ref="K3:K5"/>
    <mergeCell ref="AP4:AU4"/>
    <mergeCell ref="EN4:ES4"/>
    <mergeCell ref="ET4:EY4"/>
    <mergeCell ref="BN4:BS4"/>
    <mergeCell ref="BT4:BY4"/>
    <mergeCell ref="BZ4:CE4"/>
    <mergeCell ref="CF4:CK4"/>
    <mergeCell ref="CL4:CQ4"/>
    <mergeCell ref="CR4:CW4"/>
    <mergeCell ref="EB4:EG4"/>
    <mergeCell ref="EH4:EM4"/>
    <mergeCell ref="CX4:DC4"/>
    <mergeCell ref="DP4:DU4"/>
    <mergeCell ref="DV4:EA4"/>
    <mergeCell ref="B1:L1"/>
    <mergeCell ref="GJ3:GJ5"/>
    <mergeCell ref="GK3:GK5"/>
    <mergeCell ref="GL3:GL5"/>
    <mergeCell ref="C4:D4"/>
    <mergeCell ref="E4:F4"/>
    <mergeCell ref="G4:G5"/>
    <mergeCell ref="H4:H5"/>
    <mergeCell ref="I4:I5"/>
    <mergeCell ref="J4:J5"/>
    <mergeCell ref="L4:L5"/>
    <mergeCell ref="M3:BS3"/>
    <mergeCell ref="M4:Q4"/>
    <mergeCell ref="R4:W4"/>
    <mergeCell ref="X4:AC4"/>
    <mergeCell ref="AD4:AI4"/>
  </mergeCells>
  <printOptions horizontalCentered="1"/>
  <pageMargins left="0.27559055118110237" right="0.15748031496062992" top="0.39370078740157483" bottom="0.15748031496062992" header="0.74803149606299213" footer="0.23622047244094491"/>
  <pageSetup paperSize="9" scale="69" firstPageNumber="0" fitToWidth="8" pageOrder="overThenDown" orientation="landscape" horizontalDpi="300" verticalDpi="300" r:id="rId1"/>
  <headerFooter alignWithMargins="0"/>
  <colBreaks count="8" manualBreakCount="8">
    <brk id="12" max="1048575" man="1"/>
    <brk id="23" max="1048575" man="1"/>
    <brk id="35" max="1048575" man="1"/>
    <brk id="47" max="1048575" man="1"/>
    <brk id="59" max="1048575" man="1"/>
    <brk id="71" max="1048575" man="1"/>
    <brk id="83" max="1048575" man="1"/>
    <brk id="18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FA29F5-A67E-4642-985C-78D057BB4BC0}">
  <dimension ref="A1:GN31"/>
  <sheetViews>
    <sheetView tabSelected="1" topLeftCell="AX10" zoomScale="80" zoomScaleNormal="80" zoomScaleSheetLayoutView="70" workbookViewId="0">
      <selection activeCell="GN35" sqref="GN35:GN36"/>
    </sheetView>
  </sheetViews>
  <sheetFormatPr defaultColWidth="15.28515625" defaultRowHeight="15.75" x14ac:dyDescent="0.2"/>
  <cols>
    <col min="1" max="1" width="34.7109375" style="1" customWidth="1"/>
    <col min="2" max="2" width="19.85546875" style="1" customWidth="1"/>
    <col min="3" max="3" width="12.140625" style="1" customWidth="1"/>
    <col min="4" max="4" width="17" style="1" customWidth="1"/>
    <col min="5" max="5" width="12.85546875" style="1" customWidth="1"/>
    <col min="6" max="6" width="17.42578125" style="1" customWidth="1"/>
    <col min="7" max="7" width="12.5703125" style="1" customWidth="1"/>
    <col min="8" max="8" width="18.42578125" style="1" customWidth="1"/>
    <col min="9" max="10" width="15.42578125" style="1" customWidth="1"/>
    <col min="11" max="11" width="18" style="1" customWidth="1"/>
    <col min="12" max="12" width="19.28515625" style="1" customWidth="1"/>
    <col min="13" max="13" width="14.42578125" style="1" customWidth="1"/>
    <col min="14" max="14" width="13.28515625" style="1" customWidth="1"/>
    <col min="15" max="15" width="16" style="1" customWidth="1"/>
    <col min="16" max="16" width="16.85546875" style="1" customWidth="1"/>
    <col min="17" max="17" width="16.7109375" style="1" customWidth="1"/>
    <col min="18" max="18" width="16.85546875" style="1" customWidth="1"/>
    <col min="19" max="19" width="13.7109375" style="1" customWidth="1"/>
    <col min="20" max="20" width="11.5703125" style="1" customWidth="1"/>
    <col min="21" max="21" width="15" style="1" customWidth="1"/>
    <col min="22" max="22" width="16.5703125" style="1" customWidth="1"/>
    <col min="23" max="23" width="16.28515625" style="1" customWidth="1"/>
    <col min="24" max="24" width="15.7109375" style="1" customWidth="1"/>
    <col min="25" max="25" width="14.85546875" style="1" customWidth="1"/>
    <col min="26" max="26" width="10.5703125" style="1" customWidth="1"/>
    <col min="27" max="27" width="14.85546875" style="1" customWidth="1"/>
    <col min="28" max="28" width="15.85546875" style="1" customWidth="1"/>
    <col min="29" max="29" width="16.28515625" style="1" customWidth="1"/>
    <col min="30" max="30" width="15.85546875" style="1" customWidth="1"/>
    <col min="31" max="31" width="13.140625" style="1" customWidth="1"/>
    <col min="32" max="32" width="11.28515625" style="1" customWidth="1"/>
    <col min="33" max="33" width="14.85546875" style="1" customWidth="1"/>
    <col min="34" max="34" width="18.85546875" style="1" customWidth="1"/>
    <col min="35" max="35" width="16.28515625" style="1" customWidth="1"/>
    <col min="36" max="36" width="20.140625" style="1" customWidth="1"/>
    <col min="37" max="37" width="13.42578125" style="1" customWidth="1"/>
    <col min="38" max="39" width="11.140625" style="1" customWidth="1"/>
    <col min="40" max="40" width="16" style="1" customWidth="1"/>
    <col min="41" max="41" width="15.7109375" style="1" customWidth="1"/>
    <col min="42" max="42" width="17.42578125" style="1" customWidth="1"/>
    <col min="43" max="43" width="12.5703125" style="1" customWidth="1"/>
    <col min="44" max="44" width="10.28515625" style="1" customWidth="1"/>
    <col min="45" max="45" width="13.7109375" style="1" customWidth="1"/>
    <col min="46" max="46" width="16.5703125" style="1" customWidth="1"/>
    <col min="47" max="47" width="16.42578125" style="1" customWidth="1"/>
    <col min="48" max="48" width="17.7109375" style="1" customWidth="1"/>
    <col min="49" max="49" width="12.5703125" style="1" customWidth="1"/>
    <col min="50" max="50" width="9.42578125" style="1" customWidth="1"/>
    <col min="51" max="51" width="14.28515625" style="1" customWidth="1"/>
    <col min="52" max="53" width="16.85546875" style="1" customWidth="1"/>
    <col min="54" max="54" width="16.140625" style="1" customWidth="1"/>
    <col min="55" max="55" width="11.5703125" style="1" customWidth="1"/>
    <col min="56" max="56" width="10.42578125" style="1" customWidth="1"/>
    <col min="57" max="57" width="11.85546875" style="1" customWidth="1"/>
    <col min="58" max="58" width="16.42578125" style="1" customWidth="1"/>
    <col min="59" max="59" width="15" style="1" customWidth="1"/>
    <col min="60" max="60" width="18.5703125" style="1" customWidth="1"/>
    <col min="61" max="61" width="11.28515625" style="1" customWidth="1"/>
    <col min="62" max="62" width="12.28515625" style="1" customWidth="1"/>
    <col min="63" max="63" width="13.5703125" style="1" customWidth="1"/>
    <col min="64" max="64" width="16.140625" style="1" customWidth="1"/>
    <col min="65" max="65" width="16.42578125" style="1" customWidth="1"/>
    <col min="66" max="66" width="18.140625" style="1" hidden="1" customWidth="1"/>
    <col min="67" max="67" width="12" style="1" hidden="1" customWidth="1"/>
    <col min="68" max="68" width="12.5703125" style="1" hidden="1" customWidth="1"/>
    <col min="69" max="69" width="15.42578125" style="1" hidden="1" customWidth="1"/>
    <col min="70" max="70" width="16.85546875" style="1" hidden="1" customWidth="1"/>
    <col min="71" max="71" width="15" style="1" hidden="1" customWidth="1"/>
    <col min="72" max="72" width="18.140625" style="1" hidden="1" customWidth="1"/>
    <col min="73" max="73" width="12" style="1" hidden="1" customWidth="1"/>
    <col min="74" max="74" width="12.5703125" style="1" hidden="1" customWidth="1"/>
    <col min="75" max="75" width="15.42578125" style="1" hidden="1" customWidth="1"/>
    <col min="76" max="76" width="16.85546875" style="1" hidden="1" customWidth="1"/>
    <col min="77" max="77" width="15" style="1" hidden="1" customWidth="1"/>
    <col min="78" max="78" width="19.7109375" style="1" hidden="1" customWidth="1"/>
    <col min="79" max="79" width="15.85546875" style="1" hidden="1" customWidth="1"/>
    <col min="80" max="81" width="15" style="1" hidden="1" customWidth="1"/>
    <col min="82" max="82" width="16.5703125" style="1" hidden="1" customWidth="1"/>
    <col min="83" max="83" width="15" style="1" hidden="1" customWidth="1"/>
    <col min="84" max="84" width="16.5703125" style="1" hidden="1" customWidth="1"/>
    <col min="85" max="87" width="15" style="1" hidden="1" customWidth="1"/>
    <col min="88" max="88" width="16.5703125" style="1" hidden="1" customWidth="1"/>
    <col min="89" max="89" width="15" style="1" hidden="1" customWidth="1"/>
    <col min="90" max="90" width="16.28515625" style="1" hidden="1" customWidth="1"/>
    <col min="91" max="93" width="15" style="1" hidden="1" customWidth="1"/>
    <col min="94" max="94" width="16.28515625" style="1" hidden="1" customWidth="1"/>
    <col min="95" max="95" width="15" style="1" hidden="1" customWidth="1"/>
    <col min="96" max="96" width="16.5703125" style="1" hidden="1" customWidth="1"/>
    <col min="97" max="99" width="15" style="1" hidden="1" customWidth="1"/>
    <col min="100" max="100" width="16" style="1" hidden="1" customWidth="1"/>
    <col min="101" max="101" width="15" style="1" hidden="1" customWidth="1"/>
    <col min="102" max="102" width="16" style="1" hidden="1" customWidth="1"/>
    <col min="103" max="105" width="15" style="1" hidden="1" customWidth="1"/>
    <col min="106" max="106" width="15.85546875" style="1" hidden="1" customWidth="1"/>
    <col min="107" max="107" width="15" style="1" hidden="1" customWidth="1"/>
    <col min="108" max="108" width="16" style="1" hidden="1" customWidth="1"/>
    <col min="109" max="111" width="15" style="1" hidden="1" customWidth="1"/>
    <col min="112" max="112" width="16.28515625" style="1" hidden="1" customWidth="1"/>
    <col min="113" max="113" width="15" style="1" hidden="1" customWidth="1"/>
    <col min="114" max="114" width="15.85546875" style="1" hidden="1" customWidth="1"/>
    <col min="115" max="117" width="15" style="1" hidden="1" customWidth="1"/>
    <col min="118" max="118" width="17" style="1" hidden="1" customWidth="1"/>
    <col min="119" max="119" width="15" style="1" hidden="1" customWidth="1"/>
    <col min="120" max="120" width="16.28515625" style="1" hidden="1" customWidth="1"/>
    <col min="121" max="123" width="15" style="1" hidden="1" customWidth="1"/>
    <col min="124" max="124" width="16" style="1" hidden="1" customWidth="1"/>
    <col min="125" max="129" width="15" style="1" hidden="1" customWidth="1"/>
    <col min="130" max="130" width="16.42578125" style="1" hidden="1" customWidth="1"/>
    <col min="131" max="135" width="15" style="1" hidden="1" customWidth="1"/>
    <col min="136" max="136" width="16.42578125" style="1" hidden="1" customWidth="1"/>
    <col min="137" max="141" width="15" style="1" hidden="1" customWidth="1"/>
    <col min="142" max="142" width="16.7109375" style="1" hidden="1" customWidth="1"/>
    <col min="143" max="147" width="15" style="1" hidden="1" customWidth="1"/>
    <col min="148" max="148" width="17.5703125" style="1" hidden="1" customWidth="1"/>
    <col min="149" max="153" width="15" style="1" hidden="1" customWidth="1"/>
    <col min="154" max="154" width="16.140625" style="1" hidden="1" customWidth="1"/>
    <col min="155" max="159" width="15" style="1" hidden="1" customWidth="1"/>
    <col min="160" max="160" width="16.42578125" style="1" hidden="1" customWidth="1"/>
    <col min="161" max="165" width="15" style="1" hidden="1" customWidth="1"/>
    <col min="166" max="166" width="16.85546875" style="1" hidden="1" customWidth="1"/>
    <col min="167" max="171" width="15" style="1" hidden="1" customWidth="1"/>
    <col min="172" max="172" width="16.85546875" style="1" hidden="1" customWidth="1"/>
    <col min="173" max="177" width="15" style="1" hidden="1" customWidth="1"/>
    <col min="178" max="178" width="16.42578125" style="1" hidden="1" customWidth="1"/>
    <col min="179" max="183" width="15" style="1" hidden="1" customWidth="1"/>
    <col min="184" max="184" width="17.140625" style="1" hidden="1" customWidth="1"/>
    <col min="185" max="189" width="15" style="1" hidden="1" customWidth="1"/>
    <col min="190" max="190" width="16.7109375" style="1" hidden="1" customWidth="1"/>
    <col min="191" max="191" width="0.140625" style="1" customWidth="1"/>
    <col min="192" max="192" width="21.28515625" style="1" customWidth="1"/>
    <col min="193" max="193" width="20.5703125" style="1" customWidth="1"/>
    <col min="194" max="194" width="18.140625" style="1" customWidth="1"/>
    <col min="195" max="195" width="20.5703125" style="1" customWidth="1"/>
    <col min="196" max="16384" width="15.28515625" style="1"/>
  </cols>
  <sheetData>
    <row r="1" spans="1:196" s="5" customFormat="1" ht="46.5" customHeight="1" x14ac:dyDescent="0.2">
      <c r="A1" s="194"/>
      <c r="B1" s="264" t="s">
        <v>217</v>
      </c>
      <c r="C1" s="264"/>
      <c r="D1" s="264"/>
      <c r="E1" s="264"/>
      <c r="F1" s="264"/>
      <c r="G1" s="264"/>
      <c r="H1" s="264"/>
      <c r="I1" s="264"/>
      <c r="J1" s="264"/>
      <c r="K1" s="264"/>
      <c r="L1" s="264"/>
      <c r="M1" s="109"/>
      <c r="N1" s="109"/>
      <c r="O1" s="109"/>
      <c r="P1" s="109"/>
      <c r="Q1" s="109"/>
      <c r="R1" s="109"/>
      <c r="S1" s="109"/>
    </row>
    <row r="2" spans="1:196" s="5" customFormat="1" ht="16.5" thickBot="1" x14ac:dyDescent="0.25"/>
    <row r="3" spans="1:196" s="31" customFormat="1" ht="34.5" customHeight="1" thickBot="1" x14ac:dyDescent="0.25">
      <c r="A3" s="288" t="s">
        <v>7</v>
      </c>
      <c r="B3" s="291" t="s">
        <v>58</v>
      </c>
      <c r="C3" s="294" t="s">
        <v>9</v>
      </c>
      <c r="D3" s="295"/>
      <c r="E3" s="295"/>
      <c r="F3" s="296"/>
      <c r="G3" s="276" t="s">
        <v>59</v>
      </c>
      <c r="H3" s="277"/>
      <c r="I3" s="277"/>
      <c r="J3" s="278"/>
      <c r="K3" s="282" t="s">
        <v>78</v>
      </c>
      <c r="L3" s="62" t="s">
        <v>51</v>
      </c>
      <c r="M3" s="279" t="s">
        <v>75</v>
      </c>
      <c r="N3" s="280"/>
      <c r="O3" s="280"/>
      <c r="P3" s="280"/>
      <c r="Q3" s="280"/>
      <c r="R3" s="280"/>
      <c r="S3" s="280"/>
      <c r="T3" s="280"/>
      <c r="U3" s="280"/>
      <c r="V3" s="280"/>
      <c r="W3" s="280"/>
      <c r="X3" s="280"/>
      <c r="Y3" s="280"/>
      <c r="Z3" s="280"/>
      <c r="AA3" s="280"/>
      <c r="AB3" s="280"/>
      <c r="AC3" s="280"/>
      <c r="AD3" s="280"/>
      <c r="AE3" s="280"/>
      <c r="AF3" s="280"/>
      <c r="AG3" s="280"/>
      <c r="AH3" s="280"/>
      <c r="AI3" s="280"/>
      <c r="AJ3" s="280"/>
      <c r="AK3" s="280"/>
      <c r="AL3" s="280"/>
      <c r="AM3" s="280"/>
      <c r="AN3" s="280"/>
      <c r="AO3" s="280"/>
      <c r="AP3" s="280"/>
      <c r="AQ3" s="280"/>
      <c r="AR3" s="280"/>
      <c r="AS3" s="280"/>
      <c r="AT3" s="280"/>
      <c r="AU3" s="280"/>
      <c r="AV3" s="280"/>
      <c r="AW3" s="280"/>
      <c r="AX3" s="280"/>
      <c r="AY3" s="280"/>
      <c r="AZ3" s="280"/>
      <c r="BA3" s="280"/>
      <c r="BB3" s="280"/>
      <c r="BC3" s="280"/>
      <c r="BD3" s="280"/>
      <c r="BE3" s="280"/>
      <c r="BF3" s="280"/>
      <c r="BG3" s="280"/>
      <c r="BH3" s="280"/>
      <c r="BI3" s="280"/>
      <c r="BJ3" s="280"/>
      <c r="BK3" s="280"/>
      <c r="BL3" s="280"/>
      <c r="BM3" s="280"/>
      <c r="BN3" s="280"/>
      <c r="BO3" s="280"/>
      <c r="BP3" s="280"/>
      <c r="BQ3" s="280"/>
      <c r="BR3" s="280"/>
      <c r="BS3" s="281"/>
      <c r="BT3" s="111"/>
      <c r="BU3" s="111"/>
      <c r="BV3" s="111"/>
      <c r="BW3" s="111"/>
      <c r="BX3" s="111"/>
      <c r="BY3" s="111"/>
      <c r="BZ3" s="111"/>
      <c r="CA3" s="111"/>
      <c r="CB3" s="111"/>
      <c r="CC3" s="111"/>
      <c r="CD3" s="111"/>
      <c r="CE3" s="111"/>
      <c r="CF3" s="111"/>
      <c r="CG3" s="111"/>
      <c r="CH3" s="111"/>
      <c r="CI3" s="111"/>
      <c r="CJ3" s="111"/>
      <c r="CK3" s="111"/>
      <c r="CL3" s="111"/>
      <c r="CM3" s="111"/>
      <c r="CN3" s="111"/>
      <c r="CO3" s="111"/>
      <c r="CP3" s="111"/>
      <c r="CQ3" s="111"/>
      <c r="CR3" s="111"/>
      <c r="CS3" s="111"/>
      <c r="CT3" s="111"/>
      <c r="CU3" s="111"/>
      <c r="CV3" s="111"/>
      <c r="CW3" s="111"/>
      <c r="CX3" s="111"/>
      <c r="CY3" s="111"/>
      <c r="CZ3" s="111"/>
      <c r="DA3" s="111"/>
      <c r="DB3" s="111"/>
      <c r="DC3" s="111"/>
      <c r="DD3" s="111"/>
      <c r="DE3" s="111"/>
      <c r="DF3" s="111"/>
      <c r="DG3" s="111"/>
      <c r="DH3" s="111"/>
      <c r="DI3" s="111"/>
      <c r="DJ3" s="111"/>
      <c r="DK3" s="111"/>
      <c r="DL3" s="111"/>
      <c r="DM3" s="111"/>
      <c r="DN3" s="111"/>
      <c r="DO3" s="111"/>
      <c r="DP3" s="111"/>
      <c r="DQ3" s="111"/>
      <c r="DR3" s="111"/>
      <c r="DS3" s="111"/>
      <c r="DT3" s="111"/>
      <c r="DU3" s="111"/>
      <c r="DV3" s="111"/>
      <c r="DW3" s="111"/>
      <c r="DX3" s="111"/>
      <c r="DY3" s="111"/>
      <c r="DZ3" s="111"/>
      <c r="EA3" s="111"/>
      <c r="EB3" s="111"/>
      <c r="EC3" s="111"/>
      <c r="ED3" s="111"/>
      <c r="EE3" s="111"/>
      <c r="EF3" s="111"/>
      <c r="EG3" s="111"/>
      <c r="EH3" s="111"/>
      <c r="EI3" s="111"/>
      <c r="EJ3" s="111"/>
      <c r="EK3" s="111"/>
      <c r="EL3" s="111"/>
      <c r="EM3" s="111"/>
      <c r="EN3" s="111"/>
      <c r="EO3" s="111"/>
      <c r="EP3" s="111"/>
      <c r="EQ3" s="111"/>
      <c r="ER3" s="111"/>
      <c r="ES3" s="111"/>
      <c r="ET3" s="111"/>
      <c r="EU3" s="111"/>
      <c r="EV3" s="111"/>
      <c r="EW3" s="111"/>
      <c r="EX3" s="111"/>
      <c r="EY3" s="111"/>
      <c r="EZ3" s="111"/>
      <c r="FA3" s="111"/>
      <c r="FB3" s="111"/>
      <c r="FC3" s="111"/>
      <c r="FD3" s="111"/>
      <c r="FE3" s="111"/>
      <c r="FF3" s="111"/>
      <c r="FG3" s="111"/>
      <c r="FH3" s="111"/>
      <c r="FI3" s="111"/>
      <c r="FJ3" s="111"/>
      <c r="FK3" s="111"/>
      <c r="FL3" s="111"/>
      <c r="FM3" s="111"/>
      <c r="FN3" s="111"/>
      <c r="FO3" s="111"/>
      <c r="FP3" s="111"/>
      <c r="FQ3" s="111"/>
      <c r="FR3" s="111"/>
      <c r="FS3" s="111"/>
      <c r="FT3" s="111"/>
      <c r="FU3" s="111"/>
      <c r="FV3" s="111"/>
      <c r="FW3" s="111"/>
      <c r="FX3" s="111"/>
      <c r="FY3" s="111"/>
      <c r="FZ3" s="111"/>
      <c r="GA3" s="111"/>
      <c r="GB3" s="111"/>
      <c r="GC3" s="111"/>
      <c r="GD3" s="111"/>
      <c r="GE3" s="111"/>
      <c r="GF3" s="111"/>
      <c r="GG3" s="111"/>
      <c r="GH3" s="111"/>
      <c r="GI3" s="111"/>
      <c r="GJ3" s="299" t="s">
        <v>79</v>
      </c>
      <c r="GK3" s="261" t="s">
        <v>80</v>
      </c>
      <c r="GL3" s="302" t="s">
        <v>77</v>
      </c>
      <c r="GM3" s="261" t="s">
        <v>219</v>
      </c>
    </row>
    <row r="4" spans="1:196" s="21" customFormat="1" ht="29.25" customHeight="1" x14ac:dyDescent="0.2">
      <c r="A4" s="289"/>
      <c r="B4" s="292"/>
      <c r="C4" s="268" t="s">
        <v>10</v>
      </c>
      <c r="D4" s="269"/>
      <c r="E4" s="268" t="s">
        <v>11</v>
      </c>
      <c r="F4" s="269"/>
      <c r="G4" s="270" t="s">
        <v>198</v>
      </c>
      <c r="H4" s="272" t="s">
        <v>12</v>
      </c>
      <c r="I4" s="272" t="s">
        <v>64</v>
      </c>
      <c r="J4" s="274" t="s">
        <v>67</v>
      </c>
      <c r="K4" s="283"/>
      <c r="L4" s="286" t="s">
        <v>200</v>
      </c>
      <c r="M4" s="265" t="s">
        <v>13</v>
      </c>
      <c r="N4" s="266"/>
      <c r="O4" s="266"/>
      <c r="P4" s="266"/>
      <c r="Q4" s="285"/>
      <c r="R4" s="265" t="s">
        <v>14</v>
      </c>
      <c r="S4" s="266"/>
      <c r="T4" s="266"/>
      <c r="U4" s="266"/>
      <c r="V4" s="266"/>
      <c r="W4" s="285"/>
      <c r="X4" s="265" t="s">
        <v>15</v>
      </c>
      <c r="Y4" s="266"/>
      <c r="Z4" s="266"/>
      <c r="AA4" s="266"/>
      <c r="AB4" s="266"/>
      <c r="AC4" s="285"/>
      <c r="AD4" s="265" t="s">
        <v>16</v>
      </c>
      <c r="AE4" s="266"/>
      <c r="AF4" s="266"/>
      <c r="AG4" s="266"/>
      <c r="AH4" s="266"/>
      <c r="AI4" s="285"/>
      <c r="AJ4" s="265" t="s">
        <v>17</v>
      </c>
      <c r="AK4" s="266"/>
      <c r="AL4" s="266"/>
      <c r="AM4" s="266"/>
      <c r="AN4" s="266"/>
      <c r="AO4" s="285"/>
      <c r="AP4" s="265" t="s">
        <v>18</v>
      </c>
      <c r="AQ4" s="266"/>
      <c r="AR4" s="266"/>
      <c r="AS4" s="266"/>
      <c r="AT4" s="266"/>
      <c r="AU4" s="285"/>
      <c r="AV4" s="265" t="s">
        <v>19</v>
      </c>
      <c r="AW4" s="266"/>
      <c r="AX4" s="266"/>
      <c r="AY4" s="266"/>
      <c r="AZ4" s="266"/>
      <c r="BA4" s="285"/>
      <c r="BB4" s="265" t="s">
        <v>20</v>
      </c>
      <c r="BC4" s="266"/>
      <c r="BD4" s="266"/>
      <c r="BE4" s="266"/>
      <c r="BF4" s="266"/>
      <c r="BG4" s="285"/>
      <c r="BH4" s="265" t="s">
        <v>21</v>
      </c>
      <c r="BI4" s="266"/>
      <c r="BJ4" s="266"/>
      <c r="BK4" s="266"/>
      <c r="BL4" s="266"/>
      <c r="BM4" s="285"/>
      <c r="BN4" s="265" t="s">
        <v>22</v>
      </c>
      <c r="BO4" s="266"/>
      <c r="BP4" s="266"/>
      <c r="BQ4" s="266"/>
      <c r="BR4" s="266"/>
      <c r="BS4" s="267"/>
      <c r="BT4" s="265" t="s">
        <v>83</v>
      </c>
      <c r="BU4" s="266"/>
      <c r="BV4" s="266"/>
      <c r="BW4" s="266"/>
      <c r="BX4" s="266"/>
      <c r="BY4" s="267"/>
      <c r="BZ4" s="265" t="s">
        <v>86</v>
      </c>
      <c r="CA4" s="266"/>
      <c r="CB4" s="266"/>
      <c r="CC4" s="266"/>
      <c r="CD4" s="266"/>
      <c r="CE4" s="267"/>
      <c r="CF4" s="265" t="s">
        <v>87</v>
      </c>
      <c r="CG4" s="266"/>
      <c r="CH4" s="266"/>
      <c r="CI4" s="266"/>
      <c r="CJ4" s="266"/>
      <c r="CK4" s="267"/>
      <c r="CL4" s="265" t="s">
        <v>92</v>
      </c>
      <c r="CM4" s="266"/>
      <c r="CN4" s="266"/>
      <c r="CO4" s="266"/>
      <c r="CP4" s="266"/>
      <c r="CQ4" s="267"/>
      <c r="CR4" s="265" t="s">
        <v>95</v>
      </c>
      <c r="CS4" s="266"/>
      <c r="CT4" s="266"/>
      <c r="CU4" s="266"/>
      <c r="CV4" s="266"/>
      <c r="CW4" s="267"/>
      <c r="CX4" s="265" t="s">
        <v>98</v>
      </c>
      <c r="CY4" s="266"/>
      <c r="CZ4" s="266"/>
      <c r="DA4" s="266"/>
      <c r="DB4" s="266"/>
      <c r="DC4" s="267"/>
      <c r="DD4" s="265" t="s">
        <v>101</v>
      </c>
      <c r="DE4" s="266"/>
      <c r="DF4" s="266"/>
      <c r="DG4" s="266"/>
      <c r="DH4" s="266"/>
      <c r="DI4" s="267"/>
      <c r="DJ4" s="265" t="s">
        <v>104</v>
      </c>
      <c r="DK4" s="266"/>
      <c r="DL4" s="266"/>
      <c r="DM4" s="266"/>
      <c r="DN4" s="266"/>
      <c r="DO4" s="267"/>
      <c r="DP4" s="265" t="s">
        <v>107</v>
      </c>
      <c r="DQ4" s="266"/>
      <c r="DR4" s="266"/>
      <c r="DS4" s="266"/>
      <c r="DT4" s="266"/>
      <c r="DU4" s="267"/>
      <c r="DV4" s="265" t="s">
        <v>110</v>
      </c>
      <c r="DW4" s="266"/>
      <c r="DX4" s="266"/>
      <c r="DY4" s="266"/>
      <c r="DZ4" s="266"/>
      <c r="EA4" s="267"/>
      <c r="EB4" s="265" t="s">
        <v>132</v>
      </c>
      <c r="EC4" s="266"/>
      <c r="ED4" s="266"/>
      <c r="EE4" s="266"/>
      <c r="EF4" s="266"/>
      <c r="EG4" s="267"/>
      <c r="EH4" s="265" t="s">
        <v>136</v>
      </c>
      <c r="EI4" s="266"/>
      <c r="EJ4" s="266"/>
      <c r="EK4" s="266"/>
      <c r="EL4" s="266"/>
      <c r="EM4" s="267"/>
      <c r="EN4" s="265" t="s">
        <v>140</v>
      </c>
      <c r="EO4" s="266"/>
      <c r="EP4" s="266"/>
      <c r="EQ4" s="266"/>
      <c r="ER4" s="266"/>
      <c r="ES4" s="267"/>
      <c r="ET4" s="265" t="s">
        <v>144</v>
      </c>
      <c r="EU4" s="266"/>
      <c r="EV4" s="266"/>
      <c r="EW4" s="266"/>
      <c r="EX4" s="266"/>
      <c r="EY4" s="267"/>
      <c r="EZ4" s="265" t="s">
        <v>148</v>
      </c>
      <c r="FA4" s="266"/>
      <c r="FB4" s="266"/>
      <c r="FC4" s="266"/>
      <c r="FD4" s="266"/>
      <c r="FE4" s="267"/>
      <c r="FF4" s="265" t="s">
        <v>152</v>
      </c>
      <c r="FG4" s="266"/>
      <c r="FH4" s="266"/>
      <c r="FI4" s="266"/>
      <c r="FJ4" s="266"/>
      <c r="FK4" s="267"/>
      <c r="FL4" s="265" t="s">
        <v>156</v>
      </c>
      <c r="FM4" s="266"/>
      <c r="FN4" s="266"/>
      <c r="FO4" s="266"/>
      <c r="FP4" s="266"/>
      <c r="FQ4" s="267"/>
      <c r="FR4" s="265" t="s">
        <v>160</v>
      </c>
      <c r="FS4" s="266"/>
      <c r="FT4" s="266"/>
      <c r="FU4" s="266"/>
      <c r="FV4" s="266"/>
      <c r="FW4" s="267"/>
      <c r="FX4" s="265" t="s">
        <v>164</v>
      </c>
      <c r="FY4" s="266"/>
      <c r="FZ4" s="266"/>
      <c r="GA4" s="266"/>
      <c r="GB4" s="266"/>
      <c r="GC4" s="267"/>
      <c r="GD4" s="265" t="s">
        <v>167</v>
      </c>
      <c r="GE4" s="266"/>
      <c r="GF4" s="266"/>
      <c r="GG4" s="266"/>
      <c r="GH4" s="266"/>
      <c r="GI4" s="267"/>
      <c r="GJ4" s="300"/>
      <c r="GK4" s="262"/>
      <c r="GL4" s="303"/>
      <c r="GM4" s="262"/>
    </row>
    <row r="5" spans="1:196" s="21" customFormat="1" ht="246" customHeight="1" thickBot="1" x14ac:dyDescent="0.25">
      <c r="A5" s="289"/>
      <c r="B5" s="293"/>
      <c r="C5" s="297" t="s">
        <v>201</v>
      </c>
      <c r="D5" s="298"/>
      <c r="E5" s="297" t="s">
        <v>73</v>
      </c>
      <c r="F5" s="298"/>
      <c r="G5" s="271"/>
      <c r="H5" s="273"/>
      <c r="I5" s="273"/>
      <c r="J5" s="275"/>
      <c r="K5" s="284"/>
      <c r="L5" s="287"/>
      <c r="M5" s="59" t="s">
        <v>57</v>
      </c>
      <c r="N5" s="60" t="s">
        <v>122</v>
      </c>
      <c r="O5" s="60" t="s">
        <v>65</v>
      </c>
      <c r="P5" s="60" t="s">
        <v>76</v>
      </c>
      <c r="Q5" s="61" t="s">
        <v>23</v>
      </c>
      <c r="R5" s="59" t="s">
        <v>24</v>
      </c>
      <c r="S5" s="60" t="s">
        <v>123</v>
      </c>
      <c r="T5" s="60" t="s">
        <v>57</v>
      </c>
      <c r="U5" s="60" t="s">
        <v>65</v>
      </c>
      <c r="V5" s="60" t="s">
        <v>76</v>
      </c>
      <c r="W5" s="61" t="s">
        <v>25</v>
      </c>
      <c r="X5" s="59" t="s">
        <v>26</v>
      </c>
      <c r="Y5" s="60" t="s">
        <v>124</v>
      </c>
      <c r="Z5" s="60" t="s">
        <v>57</v>
      </c>
      <c r="AA5" s="60" t="s">
        <v>65</v>
      </c>
      <c r="AB5" s="60" t="s">
        <v>76</v>
      </c>
      <c r="AC5" s="61" t="s">
        <v>27</v>
      </c>
      <c r="AD5" s="59" t="s">
        <v>28</v>
      </c>
      <c r="AE5" s="60" t="s">
        <v>125</v>
      </c>
      <c r="AF5" s="60" t="s">
        <v>57</v>
      </c>
      <c r="AG5" s="60" t="s">
        <v>65</v>
      </c>
      <c r="AH5" s="60" t="s">
        <v>76</v>
      </c>
      <c r="AI5" s="61" t="s">
        <v>29</v>
      </c>
      <c r="AJ5" s="59" t="s">
        <v>30</v>
      </c>
      <c r="AK5" s="60" t="s">
        <v>126</v>
      </c>
      <c r="AL5" s="60" t="s">
        <v>57</v>
      </c>
      <c r="AM5" s="60" t="s">
        <v>65</v>
      </c>
      <c r="AN5" s="60" t="s">
        <v>76</v>
      </c>
      <c r="AO5" s="61" t="s">
        <v>31</v>
      </c>
      <c r="AP5" s="59" t="s">
        <v>32</v>
      </c>
      <c r="AQ5" s="60" t="s">
        <v>127</v>
      </c>
      <c r="AR5" s="60" t="s">
        <v>57</v>
      </c>
      <c r="AS5" s="60" t="s">
        <v>65</v>
      </c>
      <c r="AT5" s="60" t="s">
        <v>76</v>
      </c>
      <c r="AU5" s="61" t="s">
        <v>33</v>
      </c>
      <c r="AV5" s="59" t="s">
        <v>34</v>
      </c>
      <c r="AW5" s="60" t="s">
        <v>128</v>
      </c>
      <c r="AX5" s="60" t="s">
        <v>57</v>
      </c>
      <c r="AY5" s="60" t="s">
        <v>65</v>
      </c>
      <c r="AZ5" s="60" t="s">
        <v>76</v>
      </c>
      <c r="BA5" s="61" t="s">
        <v>35</v>
      </c>
      <c r="BB5" s="59" t="s">
        <v>36</v>
      </c>
      <c r="BC5" s="60" t="s">
        <v>129</v>
      </c>
      <c r="BD5" s="60" t="s">
        <v>57</v>
      </c>
      <c r="BE5" s="60" t="s">
        <v>65</v>
      </c>
      <c r="BF5" s="60" t="s">
        <v>76</v>
      </c>
      <c r="BG5" s="61" t="s">
        <v>37</v>
      </c>
      <c r="BH5" s="59" t="s">
        <v>38</v>
      </c>
      <c r="BI5" s="60" t="s">
        <v>130</v>
      </c>
      <c r="BJ5" s="60" t="s">
        <v>57</v>
      </c>
      <c r="BK5" s="60" t="s">
        <v>65</v>
      </c>
      <c r="BL5" s="60" t="s">
        <v>76</v>
      </c>
      <c r="BM5" s="61" t="s">
        <v>39</v>
      </c>
      <c r="BN5" s="59" t="s">
        <v>40</v>
      </c>
      <c r="BO5" s="60" t="s">
        <v>131</v>
      </c>
      <c r="BP5" s="60" t="s">
        <v>57</v>
      </c>
      <c r="BQ5" s="60" t="s">
        <v>65</v>
      </c>
      <c r="BR5" s="60" t="s">
        <v>76</v>
      </c>
      <c r="BS5" s="75" t="s">
        <v>41</v>
      </c>
      <c r="BT5" s="59" t="s">
        <v>84</v>
      </c>
      <c r="BU5" s="60" t="s">
        <v>113</v>
      </c>
      <c r="BV5" s="60" t="s">
        <v>57</v>
      </c>
      <c r="BW5" s="60" t="s">
        <v>65</v>
      </c>
      <c r="BX5" s="60" t="s">
        <v>76</v>
      </c>
      <c r="BY5" s="75" t="s">
        <v>85</v>
      </c>
      <c r="BZ5" s="59" t="s">
        <v>88</v>
      </c>
      <c r="CA5" s="60" t="s">
        <v>114</v>
      </c>
      <c r="CB5" s="60" t="s">
        <v>57</v>
      </c>
      <c r="CC5" s="60" t="s">
        <v>65</v>
      </c>
      <c r="CD5" s="60" t="s">
        <v>76</v>
      </c>
      <c r="CE5" s="75" t="s">
        <v>89</v>
      </c>
      <c r="CF5" s="59" t="s">
        <v>90</v>
      </c>
      <c r="CG5" s="60" t="s">
        <v>115</v>
      </c>
      <c r="CH5" s="60" t="s">
        <v>57</v>
      </c>
      <c r="CI5" s="60" t="s">
        <v>65</v>
      </c>
      <c r="CJ5" s="60" t="s">
        <v>76</v>
      </c>
      <c r="CK5" s="75" t="s">
        <v>91</v>
      </c>
      <c r="CL5" s="59" t="s">
        <v>93</v>
      </c>
      <c r="CM5" s="60" t="s">
        <v>116</v>
      </c>
      <c r="CN5" s="60" t="s">
        <v>57</v>
      </c>
      <c r="CO5" s="60" t="s">
        <v>65</v>
      </c>
      <c r="CP5" s="60" t="s">
        <v>76</v>
      </c>
      <c r="CQ5" s="75" t="s">
        <v>94</v>
      </c>
      <c r="CR5" s="59" t="s">
        <v>96</v>
      </c>
      <c r="CS5" s="60" t="s">
        <v>117</v>
      </c>
      <c r="CT5" s="60" t="s">
        <v>57</v>
      </c>
      <c r="CU5" s="60" t="s">
        <v>65</v>
      </c>
      <c r="CV5" s="60" t="s">
        <v>76</v>
      </c>
      <c r="CW5" s="75" t="s">
        <v>97</v>
      </c>
      <c r="CX5" s="59" t="s">
        <v>99</v>
      </c>
      <c r="CY5" s="60" t="s">
        <v>118</v>
      </c>
      <c r="CZ5" s="60" t="s">
        <v>57</v>
      </c>
      <c r="DA5" s="60" t="s">
        <v>65</v>
      </c>
      <c r="DB5" s="60" t="s">
        <v>76</v>
      </c>
      <c r="DC5" s="75" t="s">
        <v>100</v>
      </c>
      <c r="DD5" s="59" t="s">
        <v>102</v>
      </c>
      <c r="DE5" s="60" t="s">
        <v>119</v>
      </c>
      <c r="DF5" s="60" t="s">
        <v>57</v>
      </c>
      <c r="DG5" s="60" t="s">
        <v>65</v>
      </c>
      <c r="DH5" s="60" t="s">
        <v>76</v>
      </c>
      <c r="DI5" s="75" t="s">
        <v>103</v>
      </c>
      <c r="DJ5" s="59" t="s">
        <v>105</v>
      </c>
      <c r="DK5" s="60" t="s">
        <v>66</v>
      </c>
      <c r="DL5" s="60" t="s">
        <v>57</v>
      </c>
      <c r="DM5" s="60" t="s">
        <v>65</v>
      </c>
      <c r="DN5" s="60" t="s">
        <v>76</v>
      </c>
      <c r="DO5" s="75" t="s">
        <v>106</v>
      </c>
      <c r="DP5" s="59" t="s">
        <v>108</v>
      </c>
      <c r="DQ5" s="60" t="s">
        <v>120</v>
      </c>
      <c r="DR5" s="60" t="s">
        <v>57</v>
      </c>
      <c r="DS5" s="60" t="s">
        <v>65</v>
      </c>
      <c r="DT5" s="60" t="s">
        <v>76</v>
      </c>
      <c r="DU5" s="75" t="s">
        <v>109</v>
      </c>
      <c r="DV5" s="59" t="s">
        <v>112</v>
      </c>
      <c r="DW5" s="60" t="s">
        <v>121</v>
      </c>
      <c r="DX5" s="60" t="s">
        <v>57</v>
      </c>
      <c r="DY5" s="60" t="s">
        <v>65</v>
      </c>
      <c r="DZ5" s="60" t="s">
        <v>76</v>
      </c>
      <c r="EA5" s="75" t="s">
        <v>111</v>
      </c>
      <c r="EB5" s="59" t="s">
        <v>133</v>
      </c>
      <c r="EC5" s="60" t="s">
        <v>134</v>
      </c>
      <c r="ED5" s="60" t="s">
        <v>57</v>
      </c>
      <c r="EE5" s="60" t="s">
        <v>65</v>
      </c>
      <c r="EF5" s="60" t="s">
        <v>76</v>
      </c>
      <c r="EG5" s="75" t="s">
        <v>135</v>
      </c>
      <c r="EH5" s="59" t="s">
        <v>137</v>
      </c>
      <c r="EI5" s="60" t="s">
        <v>138</v>
      </c>
      <c r="EJ5" s="60" t="s">
        <v>57</v>
      </c>
      <c r="EK5" s="60" t="s">
        <v>65</v>
      </c>
      <c r="EL5" s="60" t="s">
        <v>76</v>
      </c>
      <c r="EM5" s="75" t="s">
        <v>139</v>
      </c>
      <c r="EN5" s="59" t="s">
        <v>141</v>
      </c>
      <c r="EO5" s="60" t="s">
        <v>142</v>
      </c>
      <c r="EP5" s="60" t="s">
        <v>57</v>
      </c>
      <c r="EQ5" s="60" t="s">
        <v>65</v>
      </c>
      <c r="ER5" s="60" t="s">
        <v>76</v>
      </c>
      <c r="ES5" s="75" t="s">
        <v>143</v>
      </c>
      <c r="ET5" s="59" t="s">
        <v>145</v>
      </c>
      <c r="EU5" s="60" t="s">
        <v>146</v>
      </c>
      <c r="EV5" s="60" t="s">
        <v>57</v>
      </c>
      <c r="EW5" s="60" t="s">
        <v>65</v>
      </c>
      <c r="EX5" s="60" t="s">
        <v>76</v>
      </c>
      <c r="EY5" s="75" t="s">
        <v>147</v>
      </c>
      <c r="EZ5" s="59" t="s">
        <v>149</v>
      </c>
      <c r="FA5" s="60" t="s">
        <v>150</v>
      </c>
      <c r="FB5" s="60" t="s">
        <v>57</v>
      </c>
      <c r="FC5" s="60" t="s">
        <v>65</v>
      </c>
      <c r="FD5" s="60" t="s">
        <v>76</v>
      </c>
      <c r="FE5" s="75" t="s">
        <v>151</v>
      </c>
      <c r="FF5" s="59" t="s">
        <v>153</v>
      </c>
      <c r="FG5" s="60" t="s">
        <v>154</v>
      </c>
      <c r="FH5" s="60" t="s">
        <v>57</v>
      </c>
      <c r="FI5" s="60" t="s">
        <v>65</v>
      </c>
      <c r="FJ5" s="60" t="s">
        <v>76</v>
      </c>
      <c r="FK5" s="75" t="s">
        <v>155</v>
      </c>
      <c r="FL5" s="59" t="s">
        <v>157</v>
      </c>
      <c r="FM5" s="60" t="s">
        <v>158</v>
      </c>
      <c r="FN5" s="60" t="s">
        <v>57</v>
      </c>
      <c r="FO5" s="60" t="s">
        <v>65</v>
      </c>
      <c r="FP5" s="60" t="s">
        <v>76</v>
      </c>
      <c r="FQ5" s="75" t="s">
        <v>159</v>
      </c>
      <c r="FR5" s="59" t="s">
        <v>161</v>
      </c>
      <c r="FS5" s="60" t="s">
        <v>162</v>
      </c>
      <c r="FT5" s="60" t="s">
        <v>57</v>
      </c>
      <c r="FU5" s="60" t="s">
        <v>65</v>
      </c>
      <c r="FV5" s="60" t="s">
        <v>76</v>
      </c>
      <c r="FW5" s="75" t="s">
        <v>163</v>
      </c>
      <c r="FX5" s="59" t="s">
        <v>165</v>
      </c>
      <c r="FY5" s="60" t="s">
        <v>169</v>
      </c>
      <c r="FZ5" s="60" t="s">
        <v>57</v>
      </c>
      <c r="GA5" s="60" t="s">
        <v>65</v>
      </c>
      <c r="GB5" s="60" t="s">
        <v>76</v>
      </c>
      <c r="GC5" s="75" t="s">
        <v>166</v>
      </c>
      <c r="GD5" s="59" t="s">
        <v>168</v>
      </c>
      <c r="GE5" s="60" t="s">
        <v>170</v>
      </c>
      <c r="GF5" s="60" t="s">
        <v>57</v>
      </c>
      <c r="GG5" s="60" t="s">
        <v>65</v>
      </c>
      <c r="GH5" s="60" t="s">
        <v>76</v>
      </c>
      <c r="GI5" s="75" t="s">
        <v>171</v>
      </c>
      <c r="GJ5" s="301"/>
      <c r="GK5" s="263"/>
      <c r="GL5" s="304"/>
      <c r="GM5" s="263"/>
    </row>
    <row r="6" spans="1:196" s="21" customFormat="1" ht="48" thickBot="1" x14ac:dyDescent="0.25">
      <c r="A6" s="290"/>
      <c r="B6" s="91" t="s">
        <v>42</v>
      </c>
      <c r="C6" s="64" t="s">
        <v>43</v>
      </c>
      <c r="D6" s="65" t="s">
        <v>44</v>
      </c>
      <c r="E6" s="64" t="s">
        <v>45</v>
      </c>
      <c r="F6" s="65" t="s">
        <v>46</v>
      </c>
      <c r="G6" s="58" t="s">
        <v>1</v>
      </c>
      <c r="H6" s="57" t="s">
        <v>2</v>
      </c>
      <c r="I6" s="47" t="s">
        <v>71</v>
      </c>
      <c r="J6" s="98" t="s">
        <v>69</v>
      </c>
      <c r="K6" s="103" t="s">
        <v>47</v>
      </c>
      <c r="L6" s="63" t="s">
        <v>48</v>
      </c>
      <c r="M6" s="64" t="s">
        <v>47</v>
      </c>
      <c r="N6" s="57" t="s">
        <v>55</v>
      </c>
      <c r="O6" s="57" t="s">
        <v>54</v>
      </c>
      <c r="P6" s="57" t="s">
        <v>53</v>
      </c>
      <c r="Q6" s="65" t="s">
        <v>52</v>
      </c>
      <c r="R6" s="64" t="s">
        <v>46</v>
      </c>
      <c r="S6" s="57" t="s">
        <v>55</v>
      </c>
      <c r="T6" s="57" t="s">
        <v>47</v>
      </c>
      <c r="U6" s="57" t="s">
        <v>54</v>
      </c>
      <c r="V6" s="57" t="s">
        <v>53</v>
      </c>
      <c r="W6" s="65" t="s">
        <v>52</v>
      </c>
      <c r="X6" s="64" t="s">
        <v>46</v>
      </c>
      <c r="Y6" s="57" t="s">
        <v>55</v>
      </c>
      <c r="Z6" s="57" t="s">
        <v>47</v>
      </c>
      <c r="AA6" s="57" t="s">
        <v>54</v>
      </c>
      <c r="AB6" s="57" t="s">
        <v>53</v>
      </c>
      <c r="AC6" s="65" t="s">
        <v>52</v>
      </c>
      <c r="AD6" s="64" t="s">
        <v>46</v>
      </c>
      <c r="AE6" s="57" t="s">
        <v>55</v>
      </c>
      <c r="AF6" s="57" t="s">
        <v>47</v>
      </c>
      <c r="AG6" s="57" t="s">
        <v>54</v>
      </c>
      <c r="AH6" s="57" t="s">
        <v>53</v>
      </c>
      <c r="AI6" s="65" t="s">
        <v>52</v>
      </c>
      <c r="AJ6" s="64" t="s">
        <v>46</v>
      </c>
      <c r="AK6" s="57" t="s">
        <v>55</v>
      </c>
      <c r="AL6" s="57" t="s">
        <v>47</v>
      </c>
      <c r="AM6" s="57" t="s">
        <v>54</v>
      </c>
      <c r="AN6" s="57" t="s">
        <v>53</v>
      </c>
      <c r="AO6" s="65" t="s">
        <v>52</v>
      </c>
      <c r="AP6" s="64" t="s">
        <v>46</v>
      </c>
      <c r="AQ6" s="57" t="s">
        <v>55</v>
      </c>
      <c r="AR6" s="57" t="s">
        <v>47</v>
      </c>
      <c r="AS6" s="57" t="s">
        <v>54</v>
      </c>
      <c r="AT6" s="57" t="s">
        <v>53</v>
      </c>
      <c r="AU6" s="65" t="s">
        <v>52</v>
      </c>
      <c r="AV6" s="64" t="s">
        <v>46</v>
      </c>
      <c r="AW6" s="57" t="s">
        <v>55</v>
      </c>
      <c r="AX6" s="57" t="s">
        <v>47</v>
      </c>
      <c r="AY6" s="57" t="s">
        <v>54</v>
      </c>
      <c r="AZ6" s="57" t="s">
        <v>53</v>
      </c>
      <c r="BA6" s="65" t="s">
        <v>52</v>
      </c>
      <c r="BB6" s="64" t="s">
        <v>46</v>
      </c>
      <c r="BC6" s="57" t="s">
        <v>55</v>
      </c>
      <c r="BD6" s="57" t="s">
        <v>47</v>
      </c>
      <c r="BE6" s="57" t="s">
        <v>54</v>
      </c>
      <c r="BF6" s="57" t="s">
        <v>53</v>
      </c>
      <c r="BG6" s="65" t="s">
        <v>52</v>
      </c>
      <c r="BH6" s="64" t="s">
        <v>46</v>
      </c>
      <c r="BI6" s="57" t="s">
        <v>55</v>
      </c>
      <c r="BJ6" s="57" t="s">
        <v>47</v>
      </c>
      <c r="BK6" s="57" t="s">
        <v>54</v>
      </c>
      <c r="BL6" s="57" t="s">
        <v>53</v>
      </c>
      <c r="BM6" s="65" t="s">
        <v>52</v>
      </c>
      <c r="BN6" s="64" t="s">
        <v>46</v>
      </c>
      <c r="BO6" s="57" t="s">
        <v>55</v>
      </c>
      <c r="BP6" s="57" t="s">
        <v>47</v>
      </c>
      <c r="BQ6" s="57" t="s">
        <v>54</v>
      </c>
      <c r="BR6" s="57" t="s">
        <v>53</v>
      </c>
      <c r="BS6" s="98" t="s">
        <v>52</v>
      </c>
      <c r="BT6" s="64" t="s">
        <v>46</v>
      </c>
      <c r="BU6" s="57" t="s">
        <v>55</v>
      </c>
      <c r="BV6" s="57" t="s">
        <v>47</v>
      </c>
      <c r="BW6" s="57" t="s">
        <v>82</v>
      </c>
      <c r="BX6" s="57" t="s">
        <v>53</v>
      </c>
      <c r="BY6" s="98" t="s">
        <v>52</v>
      </c>
      <c r="BZ6" s="64" t="s">
        <v>46</v>
      </c>
      <c r="CA6" s="57" t="s">
        <v>55</v>
      </c>
      <c r="CB6" s="57" t="s">
        <v>47</v>
      </c>
      <c r="CC6" s="57" t="s">
        <v>82</v>
      </c>
      <c r="CD6" s="57" t="s">
        <v>53</v>
      </c>
      <c r="CE6" s="98" t="s">
        <v>52</v>
      </c>
      <c r="CF6" s="64" t="s">
        <v>46</v>
      </c>
      <c r="CG6" s="57" t="s">
        <v>55</v>
      </c>
      <c r="CH6" s="57" t="s">
        <v>47</v>
      </c>
      <c r="CI6" s="57" t="s">
        <v>82</v>
      </c>
      <c r="CJ6" s="57" t="s">
        <v>53</v>
      </c>
      <c r="CK6" s="98" t="s">
        <v>52</v>
      </c>
      <c r="CL6" s="64" t="s">
        <v>46</v>
      </c>
      <c r="CM6" s="57" t="s">
        <v>55</v>
      </c>
      <c r="CN6" s="57" t="s">
        <v>47</v>
      </c>
      <c r="CO6" s="57" t="s">
        <v>82</v>
      </c>
      <c r="CP6" s="57" t="s">
        <v>53</v>
      </c>
      <c r="CQ6" s="98" t="s">
        <v>52</v>
      </c>
      <c r="CR6" s="64" t="s">
        <v>46</v>
      </c>
      <c r="CS6" s="57" t="s">
        <v>55</v>
      </c>
      <c r="CT6" s="57" t="s">
        <v>47</v>
      </c>
      <c r="CU6" s="57" t="s">
        <v>82</v>
      </c>
      <c r="CV6" s="57" t="s">
        <v>53</v>
      </c>
      <c r="CW6" s="98" t="s">
        <v>52</v>
      </c>
      <c r="CX6" s="64" t="s">
        <v>46</v>
      </c>
      <c r="CY6" s="57" t="s">
        <v>55</v>
      </c>
      <c r="CZ6" s="57" t="s">
        <v>47</v>
      </c>
      <c r="DA6" s="57" t="s">
        <v>82</v>
      </c>
      <c r="DB6" s="57" t="s">
        <v>53</v>
      </c>
      <c r="DC6" s="98" t="s">
        <v>52</v>
      </c>
      <c r="DD6" s="64" t="s">
        <v>46</v>
      </c>
      <c r="DE6" s="57" t="s">
        <v>55</v>
      </c>
      <c r="DF6" s="57" t="s">
        <v>47</v>
      </c>
      <c r="DG6" s="57" t="s">
        <v>82</v>
      </c>
      <c r="DH6" s="57" t="s">
        <v>53</v>
      </c>
      <c r="DI6" s="98" t="s">
        <v>52</v>
      </c>
      <c r="DJ6" s="64" t="s">
        <v>46</v>
      </c>
      <c r="DK6" s="57" t="s">
        <v>55</v>
      </c>
      <c r="DL6" s="57" t="s">
        <v>47</v>
      </c>
      <c r="DM6" s="57" t="s">
        <v>82</v>
      </c>
      <c r="DN6" s="57" t="s">
        <v>53</v>
      </c>
      <c r="DO6" s="98" t="s">
        <v>52</v>
      </c>
      <c r="DP6" s="64" t="s">
        <v>46</v>
      </c>
      <c r="DQ6" s="57" t="s">
        <v>55</v>
      </c>
      <c r="DR6" s="57" t="s">
        <v>47</v>
      </c>
      <c r="DS6" s="57" t="s">
        <v>82</v>
      </c>
      <c r="DT6" s="57" t="s">
        <v>53</v>
      </c>
      <c r="DU6" s="98" t="s">
        <v>52</v>
      </c>
      <c r="DV6" s="64" t="s">
        <v>46</v>
      </c>
      <c r="DW6" s="57" t="s">
        <v>55</v>
      </c>
      <c r="DX6" s="57" t="s">
        <v>47</v>
      </c>
      <c r="DY6" s="57" t="s">
        <v>82</v>
      </c>
      <c r="DZ6" s="57" t="s">
        <v>53</v>
      </c>
      <c r="EA6" s="98" t="s">
        <v>52</v>
      </c>
      <c r="EB6" s="64" t="s">
        <v>46</v>
      </c>
      <c r="EC6" s="57" t="s">
        <v>55</v>
      </c>
      <c r="ED6" s="57" t="s">
        <v>47</v>
      </c>
      <c r="EE6" s="57" t="s">
        <v>82</v>
      </c>
      <c r="EF6" s="57" t="s">
        <v>53</v>
      </c>
      <c r="EG6" s="98" t="s">
        <v>52</v>
      </c>
      <c r="EH6" s="64" t="s">
        <v>46</v>
      </c>
      <c r="EI6" s="57" t="s">
        <v>55</v>
      </c>
      <c r="EJ6" s="57" t="s">
        <v>47</v>
      </c>
      <c r="EK6" s="57" t="s">
        <v>82</v>
      </c>
      <c r="EL6" s="57" t="s">
        <v>53</v>
      </c>
      <c r="EM6" s="98" t="s">
        <v>52</v>
      </c>
      <c r="EN6" s="64" t="s">
        <v>46</v>
      </c>
      <c r="EO6" s="57" t="s">
        <v>55</v>
      </c>
      <c r="EP6" s="57" t="s">
        <v>47</v>
      </c>
      <c r="EQ6" s="57" t="s">
        <v>82</v>
      </c>
      <c r="ER6" s="57" t="s">
        <v>53</v>
      </c>
      <c r="ES6" s="98" t="s">
        <v>52</v>
      </c>
      <c r="ET6" s="64" t="s">
        <v>46</v>
      </c>
      <c r="EU6" s="57" t="s">
        <v>55</v>
      </c>
      <c r="EV6" s="57" t="s">
        <v>47</v>
      </c>
      <c r="EW6" s="57" t="s">
        <v>82</v>
      </c>
      <c r="EX6" s="57" t="s">
        <v>53</v>
      </c>
      <c r="EY6" s="98" t="s">
        <v>52</v>
      </c>
      <c r="EZ6" s="64" t="s">
        <v>46</v>
      </c>
      <c r="FA6" s="57" t="s">
        <v>55</v>
      </c>
      <c r="FB6" s="57" t="s">
        <v>47</v>
      </c>
      <c r="FC6" s="57" t="s">
        <v>82</v>
      </c>
      <c r="FD6" s="57" t="s">
        <v>53</v>
      </c>
      <c r="FE6" s="98" t="s">
        <v>52</v>
      </c>
      <c r="FF6" s="64" t="s">
        <v>46</v>
      </c>
      <c r="FG6" s="57" t="s">
        <v>55</v>
      </c>
      <c r="FH6" s="57" t="s">
        <v>47</v>
      </c>
      <c r="FI6" s="57" t="s">
        <v>82</v>
      </c>
      <c r="FJ6" s="57" t="s">
        <v>53</v>
      </c>
      <c r="FK6" s="98" t="s">
        <v>52</v>
      </c>
      <c r="FL6" s="64" t="s">
        <v>46</v>
      </c>
      <c r="FM6" s="57" t="s">
        <v>55</v>
      </c>
      <c r="FN6" s="57" t="s">
        <v>47</v>
      </c>
      <c r="FO6" s="57" t="s">
        <v>82</v>
      </c>
      <c r="FP6" s="57" t="s">
        <v>53</v>
      </c>
      <c r="FQ6" s="98" t="s">
        <v>52</v>
      </c>
      <c r="FR6" s="64" t="s">
        <v>46</v>
      </c>
      <c r="FS6" s="57" t="s">
        <v>55</v>
      </c>
      <c r="FT6" s="57" t="s">
        <v>47</v>
      </c>
      <c r="FU6" s="57" t="s">
        <v>82</v>
      </c>
      <c r="FV6" s="57" t="s">
        <v>53</v>
      </c>
      <c r="FW6" s="98" t="s">
        <v>52</v>
      </c>
      <c r="FX6" s="64" t="s">
        <v>46</v>
      </c>
      <c r="FY6" s="57" t="s">
        <v>55</v>
      </c>
      <c r="FZ6" s="57" t="s">
        <v>47</v>
      </c>
      <c r="GA6" s="57" t="s">
        <v>82</v>
      </c>
      <c r="GB6" s="57" t="s">
        <v>53</v>
      </c>
      <c r="GC6" s="98" t="s">
        <v>52</v>
      </c>
      <c r="GD6" s="64" t="s">
        <v>46</v>
      </c>
      <c r="GE6" s="57" t="s">
        <v>55</v>
      </c>
      <c r="GF6" s="57" t="s">
        <v>47</v>
      </c>
      <c r="GG6" s="57" t="s">
        <v>82</v>
      </c>
      <c r="GH6" s="57" t="s">
        <v>53</v>
      </c>
      <c r="GI6" s="98" t="s">
        <v>52</v>
      </c>
      <c r="GJ6" s="145" t="s">
        <v>52</v>
      </c>
      <c r="GK6" s="143" t="s">
        <v>60</v>
      </c>
      <c r="GL6" s="76" t="s">
        <v>74</v>
      </c>
      <c r="GM6" s="143" t="s">
        <v>60</v>
      </c>
    </row>
    <row r="7" spans="1:196" s="22" customFormat="1" thickBot="1" x14ac:dyDescent="0.25">
      <c r="A7" s="88">
        <v>1</v>
      </c>
      <c r="B7" s="92">
        <f t="shared" ref="B7:Y7" si="0">A7+1</f>
        <v>2</v>
      </c>
      <c r="C7" s="53">
        <f t="shared" si="0"/>
        <v>3</v>
      </c>
      <c r="D7" s="56">
        <f t="shared" si="0"/>
        <v>4</v>
      </c>
      <c r="E7" s="53">
        <f t="shared" si="0"/>
        <v>5</v>
      </c>
      <c r="F7" s="56">
        <f t="shared" si="0"/>
        <v>6</v>
      </c>
      <c r="G7" s="87">
        <f>F7+1</f>
        <v>7</v>
      </c>
      <c r="H7" s="54">
        <f t="shared" si="0"/>
        <v>8</v>
      </c>
      <c r="I7" s="54">
        <f t="shared" si="0"/>
        <v>9</v>
      </c>
      <c r="J7" s="99">
        <f>I7+1</f>
        <v>10</v>
      </c>
      <c r="K7" s="104">
        <f>J7+1</f>
        <v>11</v>
      </c>
      <c r="L7" s="55">
        <f t="shared" si="0"/>
        <v>12</v>
      </c>
      <c r="M7" s="53">
        <f>L7+1</f>
        <v>13</v>
      </c>
      <c r="N7" s="54">
        <f t="shared" si="0"/>
        <v>14</v>
      </c>
      <c r="O7" s="54">
        <f t="shared" si="0"/>
        <v>15</v>
      </c>
      <c r="P7" s="54">
        <f t="shared" si="0"/>
        <v>16</v>
      </c>
      <c r="Q7" s="56">
        <f t="shared" si="0"/>
        <v>17</v>
      </c>
      <c r="R7" s="53">
        <f t="shared" si="0"/>
        <v>18</v>
      </c>
      <c r="S7" s="54">
        <f t="shared" si="0"/>
        <v>19</v>
      </c>
      <c r="T7" s="54">
        <f>S7+1</f>
        <v>20</v>
      </c>
      <c r="U7" s="54">
        <f t="shared" si="0"/>
        <v>21</v>
      </c>
      <c r="V7" s="54">
        <f t="shared" si="0"/>
        <v>22</v>
      </c>
      <c r="W7" s="56">
        <f t="shared" si="0"/>
        <v>23</v>
      </c>
      <c r="X7" s="53">
        <f t="shared" si="0"/>
        <v>24</v>
      </c>
      <c r="Y7" s="54">
        <f t="shared" si="0"/>
        <v>25</v>
      </c>
      <c r="Z7" s="54">
        <f>Y7+1</f>
        <v>26</v>
      </c>
      <c r="AA7" s="54">
        <f t="shared" ref="AA7:BU7" si="1">Z7+1</f>
        <v>27</v>
      </c>
      <c r="AB7" s="54">
        <f t="shared" si="1"/>
        <v>28</v>
      </c>
      <c r="AC7" s="56">
        <f t="shared" si="1"/>
        <v>29</v>
      </c>
      <c r="AD7" s="53">
        <f t="shared" si="1"/>
        <v>30</v>
      </c>
      <c r="AE7" s="54">
        <f t="shared" si="1"/>
        <v>31</v>
      </c>
      <c r="AF7" s="54">
        <f>AE7+1</f>
        <v>32</v>
      </c>
      <c r="AG7" s="54">
        <f t="shared" si="1"/>
        <v>33</v>
      </c>
      <c r="AH7" s="54">
        <f t="shared" si="1"/>
        <v>34</v>
      </c>
      <c r="AI7" s="56">
        <f t="shared" si="1"/>
        <v>35</v>
      </c>
      <c r="AJ7" s="53">
        <f t="shared" si="1"/>
        <v>36</v>
      </c>
      <c r="AK7" s="54">
        <f t="shared" si="1"/>
        <v>37</v>
      </c>
      <c r="AL7" s="54">
        <f>AK7+1</f>
        <v>38</v>
      </c>
      <c r="AM7" s="54">
        <f t="shared" si="1"/>
        <v>39</v>
      </c>
      <c r="AN7" s="54">
        <f t="shared" si="1"/>
        <v>40</v>
      </c>
      <c r="AO7" s="56">
        <f t="shared" si="1"/>
        <v>41</v>
      </c>
      <c r="AP7" s="53">
        <f t="shared" si="1"/>
        <v>42</v>
      </c>
      <c r="AQ7" s="54">
        <f t="shared" si="1"/>
        <v>43</v>
      </c>
      <c r="AR7" s="54">
        <f>AQ7+1</f>
        <v>44</v>
      </c>
      <c r="AS7" s="54">
        <f t="shared" si="1"/>
        <v>45</v>
      </c>
      <c r="AT7" s="54">
        <f t="shared" si="1"/>
        <v>46</v>
      </c>
      <c r="AU7" s="56">
        <f t="shared" si="1"/>
        <v>47</v>
      </c>
      <c r="AV7" s="53">
        <f t="shared" si="1"/>
        <v>48</v>
      </c>
      <c r="AW7" s="54">
        <f t="shared" si="1"/>
        <v>49</v>
      </c>
      <c r="AX7" s="54">
        <f>AW7+1</f>
        <v>50</v>
      </c>
      <c r="AY7" s="54">
        <f t="shared" si="1"/>
        <v>51</v>
      </c>
      <c r="AZ7" s="54">
        <f t="shared" si="1"/>
        <v>52</v>
      </c>
      <c r="BA7" s="56">
        <f t="shared" si="1"/>
        <v>53</v>
      </c>
      <c r="BB7" s="53">
        <f t="shared" si="1"/>
        <v>54</v>
      </c>
      <c r="BC7" s="54">
        <f t="shared" si="1"/>
        <v>55</v>
      </c>
      <c r="BD7" s="54">
        <f>BC7+1</f>
        <v>56</v>
      </c>
      <c r="BE7" s="54">
        <f t="shared" si="1"/>
        <v>57</v>
      </c>
      <c r="BF7" s="54">
        <f t="shared" si="1"/>
        <v>58</v>
      </c>
      <c r="BG7" s="56">
        <f t="shared" si="1"/>
        <v>59</v>
      </c>
      <c r="BH7" s="53">
        <f t="shared" si="1"/>
        <v>60</v>
      </c>
      <c r="BI7" s="54">
        <f t="shared" si="1"/>
        <v>61</v>
      </c>
      <c r="BJ7" s="54">
        <f>BI7+1</f>
        <v>62</v>
      </c>
      <c r="BK7" s="54">
        <f t="shared" si="1"/>
        <v>63</v>
      </c>
      <c r="BL7" s="54">
        <f t="shared" si="1"/>
        <v>64</v>
      </c>
      <c r="BM7" s="56">
        <f t="shared" si="1"/>
        <v>65</v>
      </c>
      <c r="BN7" s="53">
        <f t="shared" si="1"/>
        <v>66</v>
      </c>
      <c r="BO7" s="54">
        <f t="shared" si="1"/>
        <v>67</v>
      </c>
      <c r="BP7" s="54">
        <f>BO7+1</f>
        <v>68</v>
      </c>
      <c r="BQ7" s="54">
        <f t="shared" si="1"/>
        <v>69</v>
      </c>
      <c r="BR7" s="54">
        <f t="shared" si="1"/>
        <v>70</v>
      </c>
      <c r="BS7" s="99">
        <f t="shared" si="1"/>
        <v>71</v>
      </c>
      <c r="BT7" s="53">
        <f t="shared" si="1"/>
        <v>72</v>
      </c>
      <c r="BU7" s="54">
        <f t="shared" si="1"/>
        <v>73</v>
      </c>
      <c r="BV7" s="54">
        <f>BU7+1</f>
        <v>74</v>
      </c>
      <c r="BW7" s="54">
        <f t="shared" ref="BW7:CA7" si="2">BV7+1</f>
        <v>75</v>
      </c>
      <c r="BX7" s="54">
        <f t="shared" si="2"/>
        <v>76</v>
      </c>
      <c r="BY7" s="99">
        <f t="shared" si="2"/>
        <v>77</v>
      </c>
      <c r="BZ7" s="53">
        <f t="shared" si="2"/>
        <v>78</v>
      </c>
      <c r="CA7" s="54">
        <f t="shared" si="2"/>
        <v>79</v>
      </c>
      <c r="CB7" s="54">
        <f>CA7+1</f>
        <v>80</v>
      </c>
      <c r="CC7" s="54">
        <f t="shared" ref="CC7:CG7" si="3">CB7+1</f>
        <v>81</v>
      </c>
      <c r="CD7" s="54">
        <f t="shared" si="3"/>
        <v>82</v>
      </c>
      <c r="CE7" s="99">
        <f t="shared" si="3"/>
        <v>83</v>
      </c>
      <c r="CF7" s="53">
        <f t="shared" si="3"/>
        <v>84</v>
      </c>
      <c r="CG7" s="54">
        <f t="shared" si="3"/>
        <v>85</v>
      </c>
      <c r="CH7" s="54">
        <f>CG7+1</f>
        <v>86</v>
      </c>
      <c r="CI7" s="54">
        <f t="shared" ref="CI7:CM7" si="4">CH7+1</f>
        <v>87</v>
      </c>
      <c r="CJ7" s="54">
        <f t="shared" si="4"/>
        <v>88</v>
      </c>
      <c r="CK7" s="99">
        <f t="shared" si="4"/>
        <v>89</v>
      </c>
      <c r="CL7" s="53">
        <f t="shared" si="4"/>
        <v>90</v>
      </c>
      <c r="CM7" s="54">
        <f t="shared" si="4"/>
        <v>91</v>
      </c>
      <c r="CN7" s="54">
        <f>CM7+1</f>
        <v>92</v>
      </c>
      <c r="CO7" s="54">
        <f t="shared" ref="CO7:CS7" si="5">CN7+1</f>
        <v>93</v>
      </c>
      <c r="CP7" s="54">
        <f t="shared" si="5"/>
        <v>94</v>
      </c>
      <c r="CQ7" s="99">
        <f t="shared" si="5"/>
        <v>95</v>
      </c>
      <c r="CR7" s="53">
        <f t="shared" si="5"/>
        <v>96</v>
      </c>
      <c r="CS7" s="54">
        <f t="shared" si="5"/>
        <v>97</v>
      </c>
      <c r="CT7" s="54">
        <f>CS7+1</f>
        <v>98</v>
      </c>
      <c r="CU7" s="54">
        <f t="shared" ref="CU7:CY7" si="6">CT7+1</f>
        <v>99</v>
      </c>
      <c r="CV7" s="54">
        <f t="shared" si="6"/>
        <v>100</v>
      </c>
      <c r="CW7" s="99">
        <f t="shared" si="6"/>
        <v>101</v>
      </c>
      <c r="CX7" s="53">
        <f t="shared" si="6"/>
        <v>102</v>
      </c>
      <c r="CY7" s="54">
        <f t="shared" si="6"/>
        <v>103</v>
      </c>
      <c r="CZ7" s="54">
        <f>CY7+1</f>
        <v>104</v>
      </c>
      <c r="DA7" s="54">
        <f t="shared" ref="DA7:DE7" si="7">CZ7+1</f>
        <v>105</v>
      </c>
      <c r="DB7" s="54">
        <f t="shared" si="7"/>
        <v>106</v>
      </c>
      <c r="DC7" s="99">
        <f t="shared" si="7"/>
        <v>107</v>
      </c>
      <c r="DD7" s="53">
        <f t="shared" si="7"/>
        <v>108</v>
      </c>
      <c r="DE7" s="54">
        <f t="shared" si="7"/>
        <v>109</v>
      </c>
      <c r="DF7" s="54">
        <f>DE7+1</f>
        <v>110</v>
      </c>
      <c r="DG7" s="54">
        <f t="shared" ref="DG7:DK7" si="8">DF7+1</f>
        <v>111</v>
      </c>
      <c r="DH7" s="54">
        <f t="shared" si="8"/>
        <v>112</v>
      </c>
      <c r="DI7" s="99">
        <f t="shared" si="8"/>
        <v>113</v>
      </c>
      <c r="DJ7" s="53">
        <f t="shared" si="8"/>
        <v>114</v>
      </c>
      <c r="DK7" s="54">
        <f t="shared" si="8"/>
        <v>115</v>
      </c>
      <c r="DL7" s="54">
        <f>DK7+1</f>
        <v>116</v>
      </c>
      <c r="DM7" s="54">
        <f t="shared" ref="DM7:DQ7" si="9">DL7+1</f>
        <v>117</v>
      </c>
      <c r="DN7" s="54">
        <f t="shared" si="9"/>
        <v>118</v>
      </c>
      <c r="DO7" s="99">
        <f t="shared" si="9"/>
        <v>119</v>
      </c>
      <c r="DP7" s="53">
        <f t="shared" si="9"/>
        <v>120</v>
      </c>
      <c r="DQ7" s="54">
        <f t="shared" si="9"/>
        <v>121</v>
      </c>
      <c r="DR7" s="54">
        <f>DQ7+1</f>
        <v>122</v>
      </c>
      <c r="DS7" s="54">
        <f t="shared" ref="DS7:DW7" si="10">DR7+1</f>
        <v>123</v>
      </c>
      <c r="DT7" s="54">
        <f t="shared" si="10"/>
        <v>124</v>
      </c>
      <c r="DU7" s="99">
        <f t="shared" si="10"/>
        <v>125</v>
      </c>
      <c r="DV7" s="53">
        <f t="shared" si="10"/>
        <v>126</v>
      </c>
      <c r="DW7" s="54">
        <f t="shared" si="10"/>
        <v>127</v>
      </c>
      <c r="DX7" s="54">
        <f>DW7+1</f>
        <v>128</v>
      </c>
      <c r="DY7" s="54">
        <f t="shared" ref="DY7:EC7" si="11">DX7+1</f>
        <v>129</v>
      </c>
      <c r="DZ7" s="54">
        <f t="shared" si="11"/>
        <v>130</v>
      </c>
      <c r="EA7" s="99">
        <f t="shared" si="11"/>
        <v>131</v>
      </c>
      <c r="EB7" s="53">
        <f t="shared" si="11"/>
        <v>132</v>
      </c>
      <c r="EC7" s="54">
        <f t="shared" si="11"/>
        <v>133</v>
      </c>
      <c r="ED7" s="54">
        <f>EC7+1</f>
        <v>134</v>
      </c>
      <c r="EE7" s="54">
        <f t="shared" ref="EE7:EI7" si="12">ED7+1</f>
        <v>135</v>
      </c>
      <c r="EF7" s="54">
        <f t="shared" si="12"/>
        <v>136</v>
      </c>
      <c r="EG7" s="99">
        <f t="shared" si="12"/>
        <v>137</v>
      </c>
      <c r="EH7" s="53">
        <f t="shared" si="12"/>
        <v>138</v>
      </c>
      <c r="EI7" s="54">
        <f t="shared" si="12"/>
        <v>139</v>
      </c>
      <c r="EJ7" s="54">
        <f>EI7+1</f>
        <v>140</v>
      </c>
      <c r="EK7" s="54">
        <f t="shared" ref="EK7:EO7" si="13">EJ7+1</f>
        <v>141</v>
      </c>
      <c r="EL7" s="54">
        <f t="shared" si="13"/>
        <v>142</v>
      </c>
      <c r="EM7" s="99">
        <f t="shared" si="13"/>
        <v>143</v>
      </c>
      <c r="EN7" s="53">
        <f t="shared" si="13"/>
        <v>144</v>
      </c>
      <c r="EO7" s="54">
        <f t="shared" si="13"/>
        <v>145</v>
      </c>
      <c r="EP7" s="54">
        <f>EO7+1</f>
        <v>146</v>
      </c>
      <c r="EQ7" s="54">
        <f t="shared" ref="EQ7:EU7" si="14">EP7+1</f>
        <v>147</v>
      </c>
      <c r="ER7" s="54">
        <f t="shared" si="14"/>
        <v>148</v>
      </c>
      <c r="ES7" s="99">
        <f t="shared" si="14"/>
        <v>149</v>
      </c>
      <c r="ET7" s="53">
        <f t="shared" si="14"/>
        <v>150</v>
      </c>
      <c r="EU7" s="54">
        <f t="shared" si="14"/>
        <v>151</v>
      </c>
      <c r="EV7" s="54">
        <f>EU7+1</f>
        <v>152</v>
      </c>
      <c r="EW7" s="54">
        <f t="shared" ref="EW7:FA7" si="15">EV7+1</f>
        <v>153</v>
      </c>
      <c r="EX7" s="54">
        <f t="shared" si="15"/>
        <v>154</v>
      </c>
      <c r="EY7" s="99">
        <f t="shared" si="15"/>
        <v>155</v>
      </c>
      <c r="EZ7" s="53">
        <f t="shared" si="15"/>
        <v>156</v>
      </c>
      <c r="FA7" s="54">
        <f t="shared" si="15"/>
        <v>157</v>
      </c>
      <c r="FB7" s="54">
        <f>FA7+1</f>
        <v>158</v>
      </c>
      <c r="FC7" s="54">
        <f t="shared" ref="FC7:FG7" si="16">FB7+1</f>
        <v>159</v>
      </c>
      <c r="FD7" s="54">
        <f t="shared" si="16"/>
        <v>160</v>
      </c>
      <c r="FE7" s="99">
        <f t="shared" si="16"/>
        <v>161</v>
      </c>
      <c r="FF7" s="53">
        <f t="shared" si="16"/>
        <v>162</v>
      </c>
      <c r="FG7" s="54">
        <f t="shared" si="16"/>
        <v>163</v>
      </c>
      <c r="FH7" s="54">
        <f>FG7+1</f>
        <v>164</v>
      </c>
      <c r="FI7" s="54">
        <f t="shared" ref="FI7:FM7" si="17">FH7+1</f>
        <v>165</v>
      </c>
      <c r="FJ7" s="54">
        <f t="shared" si="17"/>
        <v>166</v>
      </c>
      <c r="FK7" s="99">
        <f t="shared" si="17"/>
        <v>167</v>
      </c>
      <c r="FL7" s="53">
        <f t="shared" si="17"/>
        <v>168</v>
      </c>
      <c r="FM7" s="54">
        <f t="shared" si="17"/>
        <v>169</v>
      </c>
      <c r="FN7" s="54">
        <f>FM7+1</f>
        <v>170</v>
      </c>
      <c r="FO7" s="54">
        <f t="shared" ref="FO7:FS7" si="18">FN7+1</f>
        <v>171</v>
      </c>
      <c r="FP7" s="54">
        <f t="shared" si="18"/>
        <v>172</v>
      </c>
      <c r="FQ7" s="99">
        <f t="shared" si="18"/>
        <v>173</v>
      </c>
      <c r="FR7" s="53">
        <f t="shared" si="18"/>
        <v>174</v>
      </c>
      <c r="FS7" s="54">
        <f t="shared" si="18"/>
        <v>175</v>
      </c>
      <c r="FT7" s="54">
        <f>FS7+1</f>
        <v>176</v>
      </c>
      <c r="FU7" s="54">
        <f t="shared" ref="FU7:FY7" si="19">FT7+1</f>
        <v>177</v>
      </c>
      <c r="FV7" s="54">
        <f t="shared" si="19"/>
        <v>178</v>
      </c>
      <c r="FW7" s="99">
        <f t="shared" si="19"/>
        <v>179</v>
      </c>
      <c r="FX7" s="53">
        <f t="shared" si="19"/>
        <v>180</v>
      </c>
      <c r="FY7" s="54">
        <f t="shared" si="19"/>
        <v>181</v>
      </c>
      <c r="FZ7" s="54">
        <f>FY7+1</f>
        <v>182</v>
      </c>
      <c r="GA7" s="54">
        <f t="shared" ref="GA7:GE7" si="20">FZ7+1</f>
        <v>183</v>
      </c>
      <c r="GB7" s="54">
        <f t="shared" si="20"/>
        <v>184</v>
      </c>
      <c r="GC7" s="99">
        <f t="shared" si="20"/>
        <v>185</v>
      </c>
      <c r="GD7" s="53">
        <f t="shared" si="20"/>
        <v>186</v>
      </c>
      <c r="GE7" s="54">
        <f t="shared" si="20"/>
        <v>187</v>
      </c>
      <c r="GF7" s="54">
        <f>GE7+1</f>
        <v>188</v>
      </c>
      <c r="GG7" s="54">
        <f t="shared" ref="GG7:GI7" si="21">GF7+1</f>
        <v>189</v>
      </c>
      <c r="GH7" s="54">
        <f t="shared" si="21"/>
        <v>190</v>
      </c>
      <c r="GI7" s="99">
        <f t="shared" si="21"/>
        <v>191</v>
      </c>
      <c r="GJ7" s="55">
        <f>GI7+1</f>
        <v>192</v>
      </c>
      <c r="GK7" s="144">
        <f>GJ7+1</f>
        <v>193</v>
      </c>
      <c r="GL7" s="77">
        <f>GK7+1</f>
        <v>194</v>
      </c>
      <c r="GM7" s="144">
        <f>GL7+1</f>
        <v>195</v>
      </c>
    </row>
    <row r="8" spans="1:196" s="23" customFormat="1" thickBot="1" x14ac:dyDescent="0.25">
      <c r="A8" s="89" t="s">
        <v>3</v>
      </c>
      <c r="B8" s="93" t="s">
        <v>4</v>
      </c>
      <c r="C8" s="48" t="s">
        <v>49</v>
      </c>
      <c r="D8" s="52" t="s">
        <v>4</v>
      </c>
      <c r="E8" s="48" t="s">
        <v>49</v>
      </c>
      <c r="F8" s="52" t="s">
        <v>4</v>
      </c>
      <c r="G8" s="51" t="s">
        <v>5</v>
      </c>
      <c r="H8" s="49" t="s">
        <v>4</v>
      </c>
      <c r="I8" s="49" t="s">
        <v>50</v>
      </c>
      <c r="J8" s="100" t="s">
        <v>68</v>
      </c>
      <c r="K8" s="105" t="s">
        <v>50</v>
      </c>
      <c r="L8" s="50" t="s">
        <v>4</v>
      </c>
      <c r="M8" s="48" t="s">
        <v>50</v>
      </c>
      <c r="N8" s="49" t="s">
        <v>50</v>
      </c>
      <c r="O8" s="49" t="s">
        <v>50</v>
      </c>
      <c r="P8" s="49" t="s">
        <v>4</v>
      </c>
      <c r="Q8" s="52" t="s">
        <v>4</v>
      </c>
      <c r="R8" s="48" t="s">
        <v>4</v>
      </c>
      <c r="S8" s="49" t="s">
        <v>50</v>
      </c>
      <c r="T8" s="49" t="s">
        <v>50</v>
      </c>
      <c r="U8" s="49" t="s">
        <v>50</v>
      </c>
      <c r="V8" s="49" t="s">
        <v>4</v>
      </c>
      <c r="W8" s="52" t="s">
        <v>4</v>
      </c>
      <c r="X8" s="48" t="s">
        <v>4</v>
      </c>
      <c r="Y8" s="49" t="s">
        <v>50</v>
      </c>
      <c r="Z8" s="49" t="s">
        <v>50</v>
      </c>
      <c r="AA8" s="49" t="s">
        <v>50</v>
      </c>
      <c r="AB8" s="49" t="s">
        <v>4</v>
      </c>
      <c r="AC8" s="52" t="s">
        <v>4</v>
      </c>
      <c r="AD8" s="48" t="s">
        <v>4</v>
      </c>
      <c r="AE8" s="49" t="s">
        <v>50</v>
      </c>
      <c r="AF8" s="49" t="s">
        <v>50</v>
      </c>
      <c r="AG8" s="49" t="s">
        <v>50</v>
      </c>
      <c r="AH8" s="49" t="s">
        <v>4</v>
      </c>
      <c r="AI8" s="52" t="s">
        <v>4</v>
      </c>
      <c r="AJ8" s="48" t="s">
        <v>4</v>
      </c>
      <c r="AK8" s="49" t="s">
        <v>50</v>
      </c>
      <c r="AL8" s="49" t="s">
        <v>50</v>
      </c>
      <c r="AM8" s="49" t="s">
        <v>50</v>
      </c>
      <c r="AN8" s="49" t="s">
        <v>4</v>
      </c>
      <c r="AO8" s="52" t="s">
        <v>4</v>
      </c>
      <c r="AP8" s="48" t="s">
        <v>4</v>
      </c>
      <c r="AQ8" s="49" t="s">
        <v>50</v>
      </c>
      <c r="AR8" s="49" t="s">
        <v>50</v>
      </c>
      <c r="AS8" s="49" t="s">
        <v>50</v>
      </c>
      <c r="AT8" s="49" t="s">
        <v>4</v>
      </c>
      <c r="AU8" s="52" t="s">
        <v>4</v>
      </c>
      <c r="AV8" s="48" t="s">
        <v>4</v>
      </c>
      <c r="AW8" s="49" t="s">
        <v>50</v>
      </c>
      <c r="AX8" s="49" t="s">
        <v>50</v>
      </c>
      <c r="AY8" s="49" t="s">
        <v>50</v>
      </c>
      <c r="AZ8" s="49" t="s">
        <v>4</v>
      </c>
      <c r="BA8" s="52" t="s">
        <v>4</v>
      </c>
      <c r="BB8" s="48" t="s">
        <v>4</v>
      </c>
      <c r="BC8" s="49" t="s">
        <v>50</v>
      </c>
      <c r="BD8" s="49" t="s">
        <v>50</v>
      </c>
      <c r="BE8" s="49" t="s">
        <v>50</v>
      </c>
      <c r="BF8" s="49" t="s">
        <v>4</v>
      </c>
      <c r="BG8" s="52" t="s">
        <v>4</v>
      </c>
      <c r="BH8" s="48" t="s">
        <v>4</v>
      </c>
      <c r="BI8" s="49" t="s">
        <v>50</v>
      </c>
      <c r="BJ8" s="49" t="s">
        <v>50</v>
      </c>
      <c r="BK8" s="49" t="s">
        <v>50</v>
      </c>
      <c r="BL8" s="49" t="s">
        <v>4</v>
      </c>
      <c r="BM8" s="52" t="s">
        <v>4</v>
      </c>
      <c r="BN8" s="48" t="s">
        <v>4</v>
      </c>
      <c r="BO8" s="49" t="s">
        <v>50</v>
      </c>
      <c r="BP8" s="49" t="s">
        <v>50</v>
      </c>
      <c r="BQ8" s="49" t="s">
        <v>50</v>
      </c>
      <c r="BR8" s="49" t="s">
        <v>4</v>
      </c>
      <c r="BS8" s="100" t="s">
        <v>4</v>
      </c>
      <c r="BT8" s="48" t="s">
        <v>4</v>
      </c>
      <c r="BU8" s="49" t="s">
        <v>50</v>
      </c>
      <c r="BV8" s="49" t="s">
        <v>50</v>
      </c>
      <c r="BW8" s="49" t="s">
        <v>50</v>
      </c>
      <c r="BX8" s="49" t="s">
        <v>4</v>
      </c>
      <c r="BY8" s="100" t="s">
        <v>4</v>
      </c>
      <c r="BZ8" s="48" t="s">
        <v>4</v>
      </c>
      <c r="CA8" s="49" t="s">
        <v>50</v>
      </c>
      <c r="CB8" s="49" t="s">
        <v>50</v>
      </c>
      <c r="CC8" s="49" t="s">
        <v>50</v>
      </c>
      <c r="CD8" s="49" t="s">
        <v>4</v>
      </c>
      <c r="CE8" s="100" t="s">
        <v>4</v>
      </c>
      <c r="CF8" s="48" t="s">
        <v>4</v>
      </c>
      <c r="CG8" s="49" t="s">
        <v>50</v>
      </c>
      <c r="CH8" s="49" t="s">
        <v>50</v>
      </c>
      <c r="CI8" s="49" t="s">
        <v>50</v>
      </c>
      <c r="CJ8" s="49" t="s">
        <v>4</v>
      </c>
      <c r="CK8" s="100" t="s">
        <v>4</v>
      </c>
      <c r="CL8" s="48" t="s">
        <v>4</v>
      </c>
      <c r="CM8" s="49" t="s">
        <v>50</v>
      </c>
      <c r="CN8" s="49" t="s">
        <v>50</v>
      </c>
      <c r="CO8" s="49" t="s">
        <v>50</v>
      </c>
      <c r="CP8" s="49" t="s">
        <v>4</v>
      </c>
      <c r="CQ8" s="100" t="s">
        <v>4</v>
      </c>
      <c r="CR8" s="48" t="s">
        <v>4</v>
      </c>
      <c r="CS8" s="49" t="s">
        <v>50</v>
      </c>
      <c r="CT8" s="49" t="s">
        <v>50</v>
      </c>
      <c r="CU8" s="49" t="s">
        <v>50</v>
      </c>
      <c r="CV8" s="49" t="s">
        <v>4</v>
      </c>
      <c r="CW8" s="100" t="s">
        <v>4</v>
      </c>
      <c r="CX8" s="48" t="s">
        <v>4</v>
      </c>
      <c r="CY8" s="49" t="s">
        <v>50</v>
      </c>
      <c r="CZ8" s="49" t="s">
        <v>50</v>
      </c>
      <c r="DA8" s="49" t="s">
        <v>50</v>
      </c>
      <c r="DB8" s="49" t="s">
        <v>4</v>
      </c>
      <c r="DC8" s="100" t="s">
        <v>4</v>
      </c>
      <c r="DD8" s="48" t="s">
        <v>4</v>
      </c>
      <c r="DE8" s="49" t="s">
        <v>50</v>
      </c>
      <c r="DF8" s="49" t="s">
        <v>50</v>
      </c>
      <c r="DG8" s="49" t="s">
        <v>50</v>
      </c>
      <c r="DH8" s="49" t="s">
        <v>4</v>
      </c>
      <c r="DI8" s="100" t="s">
        <v>4</v>
      </c>
      <c r="DJ8" s="48" t="s">
        <v>4</v>
      </c>
      <c r="DK8" s="49" t="s">
        <v>50</v>
      </c>
      <c r="DL8" s="49" t="s">
        <v>50</v>
      </c>
      <c r="DM8" s="49" t="s">
        <v>50</v>
      </c>
      <c r="DN8" s="49" t="s">
        <v>4</v>
      </c>
      <c r="DO8" s="100" t="s">
        <v>4</v>
      </c>
      <c r="DP8" s="48" t="s">
        <v>4</v>
      </c>
      <c r="DQ8" s="49" t="s">
        <v>50</v>
      </c>
      <c r="DR8" s="49" t="s">
        <v>50</v>
      </c>
      <c r="DS8" s="49" t="s">
        <v>50</v>
      </c>
      <c r="DT8" s="49" t="s">
        <v>4</v>
      </c>
      <c r="DU8" s="100" t="s">
        <v>4</v>
      </c>
      <c r="DV8" s="48" t="s">
        <v>4</v>
      </c>
      <c r="DW8" s="49" t="s">
        <v>50</v>
      </c>
      <c r="DX8" s="49" t="s">
        <v>50</v>
      </c>
      <c r="DY8" s="49" t="s">
        <v>50</v>
      </c>
      <c r="DZ8" s="150" t="s">
        <v>4</v>
      </c>
      <c r="EA8" s="100" t="s">
        <v>4</v>
      </c>
      <c r="EB8" s="48" t="s">
        <v>4</v>
      </c>
      <c r="EC8" s="49" t="s">
        <v>50</v>
      </c>
      <c r="ED8" s="49" t="s">
        <v>50</v>
      </c>
      <c r="EE8" s="49" t="s">
        <v>50</v>
      </c>
      <c r="EF8" s="150" t="s">
        <v>4</v>
      </c>
      <c r="EG8" s="100" t="s">
        <v>4</v>
      </c>
      <c r="EH8" s="48" t="s">
        <v>4</v>
      </c>
      <c r="EI8" s="49" t="s">
        <v>50</v>
      </c>
      <c r="EJ8" s="49" t="s">
        <v>50</v>
      </c>
      <c r="EK8" s="49" t="s">
        <v>50</v>
      </c>
      <c r="EL8" s="150" t="s">
        <v>4</v>
      </c>
      <c r="EM8" s="100" t="s">
        <v>4</v>
      </c>
      <c r="EN8" s="32" t="s">
        <v>4</v>
      </c>
      <c r="EO8" s="33" t="s">
        <v>50</v>
      </c>
      <c r="EP8" s="33" t="s">
        <v>50</v>
      </c>
      <c r="EQ8" s="33" t="s">
        <v>50</v>
      </c>
      <c r="ER8" s="33" t="s">
        <v>4</v>
      </c>
      <c r="ES8" s="34" t="s">
        <v>4</v>
      </c>
      <c r="ET8" s="48" t="s">
        <v>4</v>
      </c>
      <c r="EU8" s="49" t="s">
        <v>50</v>
      </c>
      <c r="EV8" s="49" t="s">
        <v>50</v>
      </c>
      <c r="EW8" s="49" t="s">
        <v>50</v>
      </c>
      <c r="EX8" s="150" t="s">
        <v>4</v>
      </c>
      <c r="EY8" s="100" t="s">
        <v>4</v>
      </c>
      <c r="EZ8" s="48" t="s">
        <v>4</v>
      </c>
      <c r="FA8" s="49" t="s">
        <v>50</v>
      </c>
      <c r="FB8" s="49" t="s">
        <v>50</v>
      </c>
      <c r="FC8" s="49" t="s">
        <v>50</v>
      </c>
      <c r="FD8" s="150" t="s">
        <v>4</v>
      </c>
      <c r="FE8" s="100" t="s">
        <v>4</v>
      </c>
      <c r="FF8" s="48" t="s">
        <v>4</v>
      </c>
      <c r="FG8" s="49" t="s">
        <v>50</v>
      </c>
      <c r="FH8" s="49" t="s">
        <v>50</v>
      </c>
      <c r="FI8" s="49" t="s">
        <v>50</v>
      </c>
      <c r="FJ8" s="150" t="s">
        <v>4</v>
      </c>
      <c r="FK8" s="100" t="s">
        <v>4</v>
      </c>
      <c r="FL8" s="48" t="s">
        <v>4</v>
      </c>
      <c r="FM8" s="49" t="s">
        <v>50</v>
      </c>
      <c r="FN8" s="49" t="s">
        <v>50</v>
      </c>
      <c r="FO8" s="49" t="s">
        <v>50</v>
      </c>
      <c r="FP8" s="150" t="s">
        <v>4</v>
      </c>
      <c r="FQ8" s="100" t="s">
        <v>4</v>
      </c>
      <c r="FR8" s="48" t="s">
        <v>4</v>
      </c>
      <c r="FS8" s="49" t="s">
        <v>50</v>
      </c>
      <c r="FT8" s="49" t="s">
        <v>50</v>
      </c>
      <c r="FU8" s="49" t="s">
        <v>50</v>
      </c>
      <c r="FV8" s="150" t="s">
        <v>4</v>
      </c>
      <c r="FW8" s="100" t="s">
        <v>4</v>
      </c>
      <c r="FX8" s="48" t="s">
        <v>4</v>
      </c>
      <c r="FY8" s="49" t="s">
        <v>50</v>
      </c>
      <c r="FZ8" s="49" t="s">
        <v>50</v>
      </c>
      <c r="GA8" s="49" t="s">
        <v>50</v>
      </c>
      <c r="GB8" s="150" t="s">
        <v>4</v>
      </c>
      <c r="GC8" s="100" t="s">
        <v>4</v>
      </c>
      <c r="GD8" s="48" t="s">
        <v>4</v>
      </c>
      <c r="GE8" s="49" t="s">
        <v>50</v>
      </c>
      <c r="GF8" s="49" t="s">
        <v>50</v>
      </c>
      <c r="GG8" s="49" t="s">
        <v>50</v>
      </c>
      <c r="GH8" s="150" t="s">
        <v>4</v>
      </c>
      <c r="GI8" s="100" t="s">
        <v>4</v>
      </c>
      <c r="GJ8" s="147" t="s">
        <v>4</v>
      </c>
      <c r="GK8" s="146" t="s">
        <v>4</v>
      </c>
      <c r="GL8" s="78" t="s">
        <v>50</v>
      </c>
      <c r="GM8" s="146" t="s">
        <v>4</v>
      </c>
    </row>
    <row r="9" spans="1:196" s="20" customFormat="1" ht="16.5" customHeight="1" x14ac:dyDescent="0.25">
      <c r="A9" s="158" t="s">
        <v>172</v>
      </c>
      <c r="B9" s="129" t="s">
        <v>8</v>
      </c>
      <c r="C9" s="129" t="s">
        <v>8</v>
      </c>
      <c r="D9" s="129" t="s">
        <v>8</v>
      </c>
      <c r="E9" s="129" t="s">
        <v>8</v>
      </c>
      <c r="F9" s="129" t="s">
        <v>8</v>
      </c>
      <c r="G9" s="94">
        <f>'Исходные данные'!C11</f>
        <v>884</v>
      </c>
      <c r="H9" s="42">
        <f>'Исходные данные'!F11</f>
        <v>1085380</v>
      </c>
      <c r="I9" s="43">
        <f>'Расчет КРП'!G7</f>
        <v>3.1897625798420228</v>
      </c>
      <c r="J9" s="101" t="s">
        <v>8</v>
      </c>
      <c r="K9" s="132">
        <f t="shared" ref="K9:K25" si="22">((H9/G9)/($H$26/$G$26))/I9</f>
        <v>0.2034586372646911</v>
      </c>
      <c r="L9" s="133">
        <f t="shared" ref="L9:L25" si="23">$D$26*G9/$G$26</f>
        <v>78701.917840326452</v>
      </c>
      <c r="M9" s="137">
        <f t="shared" ref="M9:M25" si="24">(((H9+L9)/G9)/$J$26)/I9</f>
        <v>0.2182116131384961</v>
      </c>
      <c r="N9" s="138" t="s">
        <v>8</v>
      </c>
      <c r="O9" s="139">
        <f t="shared" ref="O9:O25" si="25">$N$26-M9</f>
        <v>5.3176734745530113E-2</v>
      </c>
      <c r="P9" s="151">
        <f t="shared" ref="P9:P25" si="26">IF(O9&gt;0,G9*I9*(($H$26+$L$26)/$G$26)*O9,0)</f>
        <v>297028.61664062768</v>
      </c>
      <c r="Q9" s="140">
        <f t="shared" ref="Q9:Q25" si="27">IF(($F$26-P$26)&gt;0,P9,$F$26*P9/P$26)</f>
        <v>297028.61664062768</v>
      </c>
      <c r="R9" s="134" t="s">
        <v>8</v>
      </c>
      <c r="S9" s="41" t="s">
        <v>8</v>
      </c>
      <c r="T9" s="45">
        <f t="shared" ref="T9:T25" si="28">(((H9+L9+Q9)/G9)/$J$26)/I9</f>
        <v>0.27389076474467866</v>
      </c>
      <c r="U9" s="44">
        <f t="shared" ref="U9:U25" si="29">S$26-T9</f>
        <v>7.1853060363870291E-2</v>
      </c>
      <c r="V9" s="46">
        <f t="shared" ref="V9:V25" si="30">IF(U9&gt;0,$G9*$I9*(($H$26+$L$26+$Q$26)/$G$26)*U9,0)</f>
        <v>459281.61794255831</v>
      </c>
      <c r="W9" s="72">
        <f t="shared" ref="W9:W25" si="31">IF((R$26-V$26)&gt;0,V9,R$26*V9/V$26)</f>
        <v>459281.61794255831</v>
      </c>
      <c r="X9" s="68" t="s">
        <v>8</v>
      </c>
      <c r="Y9" s="41" t="s">
        <v>8</v>
      </c>
      <c r="Z9" s="45">
        <f t="shared" ref="Z9:Z25" si="32">(((H9+L9+Q9+W9)/G9)/$J$26)/I9</f>
        <v>0.35998486276317493</v>
      </c>
      <c r="AA9" s="44">
        <f t="shared" ref="AA9:AA25" si="33">Y$26-Z9</f>
        <v>4.9866651097198178E-2</v>
      </c>
      <c r="AB9" s="46">
        <f t="shared" ref="AB9:AB25" si="34">IF(AA9&gt;0,$G9*$I9*(($H$26+$L$26+$Q$26+$W$26)/$G$26)*AA9,0)</f>
        <v>353273.17780371947</v>
      </c>
      <c r="AC9" s="72">
        <f t="shared" ref="AC9:AC25" si="35">IF((X$26-AB$26)&gt;0,AB9,X$26*AB9/AB$26)</f>
        <v>353273.17780371947</v>
      </c>
      <c r="AD9" s="68" t="s">
        <v>8</v>
      </c>
      <c r="AE9" s="41" t="s">
        <v>8</v>
      </c>
      <c r="AF9" s="45">
        <f t="shared" ref="AF9:AF25" si="36">(((H9+L9+Q9+W9+AC9)/G9)/$J$26)/I9</f>
        <v>0.42620727273766468</v>
      </c>
      <c r="AG9" s="44">
        <f t="shared" ref="AG9:AG25" si="37">AE$26-AF9</f>
        <v>4.0507259060953704E-2</v>
      </c>
      <c r="AH9" s="46">
        <f t="shared" ref="AH9:AH25" si="38">IF(AG9&gt;0,$G9*$I9*(($H$26+$L$26+$Q$26+$W$26+$AC$26)/$G$26)*AG9,0)</f>
        <v>312059.82421154785</v>
      </c>
      <c r="AI9" s="72">
        <f t="shared" ref="AI9:AI25" si="39">IF((AD$26-AH$26)&gt;0,AH9,AD$26*AH9/AH$26)</f>
        <v>312059.82421154785</v>
      </c>
      <c r="AJ9" s="68" t="s">
        <v>8</v>
      </c>
      <c r="AK9" s="41" t="s">
        <v>8</v>
      </c>
      <c r="AL9" s="45">
        <f t="shared" ref="AL9:AL25" si="40">(((H9+L9+Q9+W9+AC9+AI9)/G9)/$J$26)/I9</f>
        <v>0.48470408176228319</v>
      </c>
      <c r="AM9" s="44">
        <f t="shared" ref="AM9:AM25" si="41">AK$26-AL9</f>
        <v>3.3196508471886377E-2</v>
      </c>
      <c r="AN9" s="46">
        <f t="shared" ref="AN9:AN25" si="42">IF(AM9&gt;0,$G9*$I9*(($H$26+$L$26+$Q$26+$W$26+$AC$26+$AI$26)/$G$26)*AM9,0)</f>
        <v>274286.33385513455</v>
      </c>
      <c r="AO9" s="72">
        <f t="shared" ref="AO9:AO25" si="43">IF((AJ$26-AN$26)&gt;0,AN9,AJ$26*AN9/AN$26)</f>
        <v>274286.33385513455</v>
      </c>
      <c r="AP9" s="68" t="s">
        <v>8</v>
      </c>
      <c r="AQ9" s="41" t="s">
        <v>8</v>
      </c>
      <c r="AR9" s="45">
        <f t="shared" ref="AR9:AR25" si="44">(((H9+L9+Q9+W9+AC9+AI9+AO9)/G9)/$J$26)/I9</f>
        <v>0.53612010537290233</v>
      </c>
      <c r="AS9" s="44">
        <f t="shared" ref="AS9:AS25" si="45">AQ$26-AR9</f>
        <v>2.7869958454209698E-2</v>
      </c>
      <c r="AT9" s="46">
        <f t="shared" ref="AT9:AT25" si="46">IF(AS9&gt;0,$G9*$I9*(($H$26+$L$26+$Q$26+$W$26+$AC$26+$AI$26+$AO$26)/$G$26)*AS9,0)</f>
        <v>244315.70083559814</v>
      </c>
      <c r="AU9" s="72">
        <f t="shared" ref="AU9:AU25" si="47">IF((AP$26-AT$26)&gt;0,AT9,AP$26*AT9/AT$26)</f>
        <v>244315.70083559814</v>
      </c>
      <c r="AV9" s="68" t="s">
        <v>8</v>
      </c>
      <c r="AW9" s="41" t="s">
        <v>8</v>
      </c>
      <c r="AX9" s="45">
        <f t="shared" ref="AX9:AX25" si="48">(((H9+L9+Q9+W9+AC9+AI9+AO9+AU9)/G9)/$J$26)/I9</f>
        <v>0.58191801905693807</v>
      </c>
      <c r="AY9" s="44">
        <f t="shared" ref="AY9:AY25" si="49">AW$26-AX9</f>
        <v>2.255633425359771E-2</v>
      </c>
      <c r="AZ9" s="46">
        <f t="shared" ref="AZ9:AZ25" si="50">IF(AY9&gt;0,$G9*$I9*(($H$26+$L$26+$Q$26+$W$26+$AC$26+$AI$26+$AO$26+$AU$26)/$G$26)*AY9,0)</f>
        <v>207708.34955362094</v>
      </c>
      <c r="BA9" s="72">
        <f t="shared" ref="BA9:BA25" si="51">IF((AV$26-AZ$26)&gt;0,AZ9,AV$26*AZ9/AZ$26)</f>
        <v>207708.34955362094</v>
      </c>
      <c r="BB9" s="68" t="s">
        <v>8</v>
      </c>
      <c r="BC9" s="41" t="s">
        <v>8</v>
      </c>
      <c r="BD9" s="45">
        <f t="shared" ref="BD9:BD25" si="52">(((H9+L9+Q9+W9+AC9+AI9+AO9+AU9+BA9)/G9)/$J$26)/I9</f>
        <v>0.62085374456199427</v>
      </c>
      <c r="BE9" s="44">
        <f t="shared" ref="BE9:BE25" si="53">BC$26-BD9</f>
        <v>2.1550525897730655E-2</v>
      </c>
      <c r="BF9" s="46">
        <f t="shared" ref="BF9:BF25" si="54">IF(BE9&gt;0,$G9*$I9*(($H$26+$L$26+$Q$26+$W$26+$AC$26+$AI$26+$AO$26+$AU$26+$BA$26)/$G$26)*BE9,0)</f>
        <v>214286.03539215145</v>
      </c>
      <c r="BG9" s="72">
        <f t="shared" ref="BG9:BG25" si="55">IF((BB$26-BF$26)&gt;0,BF9,BB$26*BF9/BF$26)</f>
        <v>160389.32400943417</v>
      </c>
      <c r="BH9" s="68" t="s">
        <v>8</v>
      </c>
      <c r="BI9" s="41" t="s">
        <v>8</v>
      </c>
      <c r="BJ9" s="45">
        <f t="shared" ref="BJ9:BJ25" si="56">(((H9+L9+Q9+W9+AC9+AI9+AO9+AU9+BA9+BG9)/G9)/$J$26)/I9</f>
        <v>0.65091933752921727</v>
      </c>
      <c r="BK9" s="44">
        <f t="shared" ref="BK9:BK25" si="57">BI$26-BJ9</f>
        <v>1.9201007399193282E-2</v>
      </c>
      <c r="BL9" s="46">
        <f t="shared" ref="BL9:BL25" si="58">IF(BK9&gt;0,$G9*$I9*(($H$26+$L$26+$Q$26+$W$26+$AC$26+$AI$26+$AO$26+$AU$26+$BA$26+$BG$26)/$G$26)*BK9,0)</f>
        <v>198835.17971270432</v>
      </c>
      <c r="BM9" s="72">
        <f t="shared" ref="BM9:BM25" si="59">IF((BH$26-BL$26)&gt;0,BL9,BH$26*BL9/BL$26)</f>
        <v>0</v>
      </c>
      <c r="BN9" s="68" t="s">
        <v>8</v>
      </c>
      <c r="BO9" s="41" t="s">
        <v>8</v>
      </c>
      <c r="BP9" s="45">
        <f t="shared" ref="BP9:BP25" si="60">(((H9+L9+Q9+W9+AC9+AI9+AO9+AU9+BA9+BG9+BM9)/G9)/$J$26)/I9</f>
        <v>0.65091933752921727</v>
      </c>
      <c r="BQ9" s="44">
        <f t="shared" ref="BQ9:BQ25" si="61">BO$26-BP9</f>
        <v>1.9201007399193282E-2</v>
      </c>
      <c r="BR9" s="46">
        <f t="shared" ref="BR9:BR25" si="62">IF(BQ9&gt;0,$G9*$I9*(($H$26+$L$26+$Q$26+$W$26+$AC$26+$AI$26+$AO$26+$AU$26+$BA$26+$BG$26+$BM$26)/$G$26)*BQ9,0)</f>
        <v>198835.17971270432</v>
      </c>
      <c r="BS9" s="112">
        <f t="shared" ref="BS9:BS25" si="63">IF((BN$26-BR$26)&gt;0,BR9,BN$26*BR9/BR$26)</f>
        <v>0</v>
      </c>
      <c r="BT9" s="68" t="s">
        <v>8</v>
      </c>
      <c r="BU9" s="41" t="s">
        <v>8</v>
      </c>
      <c r="BV9" s="45">
        <f t="shared" ref="BV9:BV25" si="64">(((H9+L9+Q9+W9+AC9+AI9+AO9+AU9+BA9+BG9+BM9+BS9)/G9)/$J$26)/I9</f>
        <v>0.65091933752921727</v>
      </c>
      <c r="BW9" s="44">
        <f t="shared" ref="BW9:BW25" si="65">BU$26-BV9</f>
        <v>1.9201007399193282E-2</v>
      </c>
      <c r="BX9" s="46">
        <f t="shared" ref="BX9:BX25" si="66">IF(BW9&gt;0,$G9*$I9*(($H$26+$L$26+$Q$26+$W$26+$AC$26+$AI$26+$AO$26+$AU$26+$BA$26+$BG$26+$BM$26+$BS$26)/$G$26)*BW9,0)</f>
        <v>198835.17971270432</v>
      </c>
      <c r="BY9" s="112">
        <f t="shared" ref="BY9:BY25" si="67">IF((BT$26-BX$26)&gt;0,BX9,BT$26*BX9/BX$26)</f>
        <v>0</v>
      </c>
      <c r="BZ9" s="68" t="s">
        <v>8</v>
      </c>
      <c r="CA9" s="41" t="s">
        <v>8</v>
      </c>
      <c r="CB9" s="45">
        <f t="shared" ref="CB9:CB25" si="68">(((H9+L9+Q9+W9+AC9+AI9+AO9+AU9+BA9+BG9+BM9+BS9+BY9)/G9)/$J$26)/I9</f>
        <v>0.65091933752921727</v>
      </c>
      <c r="CC9" s="44">
        <f t="shared" ref="CC9:CC25" si="69">CA$26-CB9</f>
        <v>1.9201007399193282E-2</v>
      </c>
      <c r="CD9" s="46">
        <f t="shared" ref="CD9:CD25" si="70">IF(CC9&gt;0,$G9*$I9*(($H$26+$L$26+$Q$26+$W$26+$AC$26+$AI$26+$AO$26+$AU$26+$BA$26+$BG$26+$BM$26+$BS$26+$BY$26)/$G$26)*CC9,0)</f>
        <v>198835.17971270432</v>
      </c>
      <c r="CE9" s="112">
        <f t="shared" ref="CE9:CE25" si="71">IF((BZ$26-CD$26)&gt;0,CD9,BZ$26*CD9/CD$26)</f>
        <v>0</v>
      </c>
      <c r="CF9" s="68" t="s">
        <v>8</v>
      </c>
      <c r="CG9" s="41" t="s">
        <v>8</v>
      </c>
      <c r="CH9" s="45">
        <f t="shared" ref="CH9:CH25" si="72">(((H9+L9+Q9+W9+AC9+AI9+AO9+AU9+BA9+BG9+BM9+BS9+BY9+CE9)/G9)/$J$26)/I9</f>
        <v>0.65091933752921727</v>
      </c>
      <c r="CI9" s="44">
        <f t="shared" ref="CI9:CI25" si="73">CG$26-CH9</f>
        <v>1.9201007399193282E-2</v>
      </c>
      <c r="CJ9" s="46">
        <f t="shared" ref="CJ9:CJ25" si="74">IF(CI9&gt;0,$G9*$I9*(($H$26+$L$26+$Q$26+$W$26+$AC$26+$AI$26+$AO$26+$AU$26+$BA$26+$BG$26+$BM$26+$BS$26+$BY$26+$CE$26)/$G$26)*CI9,0)</f>
        <v>198835.17971270432</v>
      </c>
      <c r="CK9" s="112">
        <f t="shared" ref="CK9:CK25" si="75">IF((CF$26-CJ$26)&gt;0,CJ9,CF$26*CJ9/CJ$26)</f>
        <v>0</v>
      </c>
      <c r="CL9" s="68" t="s">
        <v>8</v>
      </c>
      <c r="CM9" s="41" t="s">
        <v>8</v>
      </c>
      <c r="CN9" s="45">
        <f t="shared" ref="CN9:CN25" si="76">(((H9+L9+Q9+W9+AC9+AI9+AO9+AU9+BA9+BG9+BM9+BS9+BY9+CE9+CK9)/G9)/$J$26)/I9</f>
        <v>0.65091933752921727</v>
      </c>
      <c r="CO9" s="44">
        <f t="shared" ref="CO9:CO25" si="77">CM$26-CN9</f>
        <v>1.9201007399193282E-2</v>
      </c>
      <c r="CP9" s="46">
        <f t="shared" ref="CP9:CP25" si="78">IF(CO9&gt;0,$G9*$I9*(($H$26+$L$26+$Q$26+$W$26+$AC$26+$AI$26+$AO$26+$AU$26+$BA$26+$BG$26+$BM$26+$BS$26+$BY$26+$CE$26+$CK$26)/$G$26)*CO9,0)</f>
        <v>198835.17971270432</v>
      </c>
      <c r="CQ9" s="112">
        <f t="shared" ref="CQ9:CQ25" si="79">IF((CL$26-CP$26)&gt;0,CP9,CL$26*CP9/CP$26)</f>
        <v>0</v>
      </c>
      <c r="CR9" s="68" t="s">
        <v>8</v>
      </c>
      <c r="CS9" s="41" t="s">
        <v>8</v>
      </c>
      <c r="CT9" s="45">
        <f t="shared" ref="CT9:CT25" si="80">(((H9+L9+Q9+W9+AC9+AI9+AO9+AU9+BA9+BG9+BM9+BS9+BY9+CE9+CK9+CQ9)/G9)/$J$26)/I9</f>
        <v>0.65091933752921727</v>
      </c>
      <c r="CU9" s="44">
        <f t="shared" ref="CU9:CU25" si="81">CS$26-CT9</f>
        <v>1.9201007399193282E-2</v>
      </c>
      <c r="CV9" s="46">
        <f t="shared" ref="CV9:CV25" si="82">IF(CU9&gt;0,$G9*$I9*(($H$26+$L$26+$Q$26+$W$26+$AC$26+$AI$26+$AO$26+$AU$26+$BA$26+$BG$26+$BM$26+$BS$26+$BY$26+$CE$26+$CK$26+$CQ$26)/$G$26)*CU9,0)</f>
        <v>198835.17971270432</v>
      </c>
      <c r="CW9" s="112">
        <f t="shared" ref="CW9:CW25" si="83">IF((CR$26-CV$26)&gt;0,CV9,CR$26*CV9/CV$26)</f>
        <v>0</v>
      </c>
      <c r="CX9" s="68" t="s">
        <v>8</v>
      </c>
      <c r="CY9" s="41" t="s">
        <v>8</v>
      </c>
      <c r="CZ9" s="45">
        <f t="shared" ref="CZ9:CZ25" si="84">(((H9+L9+Q9+W9+AC9+AI9+AO9+AU9+BA9+BG9+BM9+BS9+BY9+CE9+CK9+CQ9+CW9)/G9)/$J$26)/I9</f>
        <v>0.65091933752921727</v>
      </c>
      <c r="DA9" s="44">
        <f t="shared" ref="DA9:DA25" si="85">CY$26-CZ9</f>
        <v>1.9201007399193282E-2</v>
      </c>
      <c r="DB9" s="46">
        <f t="shared" ref="DB9:DB25" si="86">IF(DA9&gt;0,$G9*$I9*(($H$26+$L$26+$Q$26+$W$26+$AC$26+$AI$26+$AO$26+$AU$26+$BA$26+$BG$26+$BM$26+$BS$26+$BY$26+$CE$26+$CK$26+$CQ$26+$CW$26)/$G$26)*DA9,0)</f>
        <v>198835.17971270432</v>
      </c>
      <c r="DC9" s="112">
        <f t="shared" ref="DC9:DC25" si="87">IF((CX$26-DB$26)&gt;0,DB9,CX$26*DB9/DB$26)</f>
        <v>0</v>
      </c>
      <c r="DD9" s="68" t="s">
        <v>8</v>
      </c>
      <c r="DE9" s="41" t="s">
        <v>8</v>
      </c>
      <c r="DF9" s="45">
        <f t="shared" ref="DF9:DF25" si="88">(((H9+L9+Q9+W9+AC9+AI9+AO9+AU9+BA9+BG9+BM9+BS9+BY9+CE9+CK9+CQ9+CW9+DC9)/G9)/$J$26)/I9</f>
        <v>0.65091933752921727</v>
      </c>
      <c r="DG9" s="44">
        <f t="shared" ref="DG9:DG25" si="89">DE$26-DF9</f>
        <v>1.9201007399193282E-2</v>
      </c>
      <c r="DH9" s="46">
        <f t="shared" ref="DH9:DH25" si="90">IF(DG9&gt;0,$G9*$I9*(($H$26+$L$26+$Q$26+$W$26+$AC$26+$AI$26+$AO$26+$AU$26+$BA$26+$BG$26+$BM$26+$BS$26+$BY$26+$CE$26+$CK$26+$CQ$26+$CW$26+$DC$26)/$G$26)*DG9,0)</f>
        <v>198835.17971270432</v>
      </c>
      <c r="DI9" s="112">
        <f t="shared" ref="DI9:DI25" si="91">IF((DD$26-DH$26)&gt;0,DH9,DD$26*DH9/DH$26)</f>
        <v>0</v>
      </c>
      <c r="DJ9" s="68" t="s">
        <v>8</v>
      </c>
      <c r="DK9" s="41" t="s">
        <v>8</v>
      </c>
      <c r="DL9" s="45">
        <f t="shared" ref="DL9:DL25" si="92">(((H9+L9+Q9+W9+AC9+AI9+AO9+AU9+BA9+BG9+BM9+BS9+BY9+CE9+CK9+CQ9+CW9+DC9+DI9)/G9)/$J$26)/I9</f>
        <v>0.65091933752921727</v>
      </c>
      <c r="DM9" s="44">
        <f t="shared" ref="DM9:DM25" si="93">DK$26-DL9</f>
        <v>1.9201007399193282E-2</v>
      </c>
      <c r="DN9" s="46">
        <f t="shared" ref="DN9:DN25" si="94">IF(DM9&gt;0,$G9*$I9*(($H$26+$L$26+$Q$26+$W$26+$AC$26+$AI$26+$AO$26+$AU$26+$BA$26+$BG$26+$BM$26+$BS$26+$BY$26+$CE$26+$CK$26+$CQ$26+$CW$26+$DC$26+$DI$26)/$G$26)*DM9,0)</f>
        <v>198835.17971270432</v>
      </c>
      <c r="DO9" s="112">
        <f t="shared" ref="DO9:DO25" si="95">IF((DJ$26-DN$26)&gt;0,DN9,DJ$26*DN9/DN$26)</f>
        <v>0</v>
      </c>
      <c r="DP9" s="68" t="s">
        <v>8</v>
      </c>
      <c r="DQ9" s="41" t="s">
        <v>8</v>
      </c>
      <c r="DR9" s="45">
        <f t="shared" ref="DR9:DR25" si="96">(((H9+L9+Q9+W9+AC9+AI9+AO9+AU9+BA9+BG9+BM9+BS9+BY9+CE9+CK9+CQ9+CW9+DC9+DI9+DO9)/G9)/$J$26)/I9</f>
        <v>0.65091933752921727</v>
      </c>
      <c r="DS9" s="44">
        <f t="shared" ref="DS9:DS25" si="97">DQ$26-DR9</f>
        <v>1.9201007399193282E-2</v>
      </c>
      <c r="DT9" s="46">
        <f t="shared" ref="DT9:DT25" si="98">IF(DS9&gt;0,$G9*$I9*(($H$26+$L$26+$Q$26+$W$26+$AC$26+$AI$26+$AO$26+$AU$26+$BA$26+$BG$26+$BM$26+$BS$26+$BY$26+$CE$26+$CK$26+$CQ$26+$CW$26+$DC$26+$DI$26+$DO$26)/$G$26)*DS9,0)</f>
        <v>198835.17971270432</v>
      </c>
      <c r="DU9" s="112">
        <f t="shared" ref="DU9:DU25" si="99">IF((DP$26-DT$26)&gt;0,DT9,DP$26*DT9/DT$26)</f>
        <v>0</v>
      </c>
      <c r="DV9" s="148" t="s">
        <v>8</v>
      </c>
      <c r="DW9" s="138" t="s">
        <v>8</v>
      </c>
      <c r="DX9" s="152">
        <f t="shared" ref="DX9:DX25" si="100">((($H9+$L9+$Q9+$W9+$AC9+$AI9+$AO9+$AU9+$BA9+$BG9+$BM9+$BS9+$BY9+$CE9+$CK9+$CQ9+$CW9+$DC9+$DI9+$DO9+$DU9)/$G9)/$J$26)/$I9</f>
        <v>0.65091933752921727</v>
      </c>
      <c r="DY9" s="139">
        <f t="shared" ref="DY9:DY25" si="101">DW$26-DX9</f>
        <v>1.9201007399193282E-2</v>
      </c>
      <c r="DZ9" s="29">
        <f t="shared" ref="DZ9:DZ25" si="102">IF(DY9&gt;0,$G9*$I9*(($H$26+$L$26+$Q$26+$W$26+$AC$26+$AI$26+$AO$26+$AU$26+$BA$26+$BG$26+$BM$26+$BS$26+$BY$26+$CE$26+$CK$26+$CQ$26+$CW$26+$DC$26+$DI$26+$DO$26+$DU$26)/$G$26)*DY9,0)</f>
        <v>198835.17971270432</v>
      </c>
      <c r="EA9" s="140">
        <f t="shared" ref="EA9:EA25" si="103">IF((DV$26-DZ$26)&gt;0,DZ9,DV$26*DZ9/DZ$26)</f>
        <v>0</v>
      </c>
      <c r="EB9" s="148" t="s">
        <v>8</v>
      </c>
      <c r="EC9" s="138" t="s">
        <v>8</v>
      </c>
      <c r="ED9" s="152">
        <f t="shared" ref="ED9:ED25" si="104">((($H9+$L9+$Q9+$W9+$AC9+$AI9+$AO9+$AU9+$BA9+$BG9+$BM9+$BS9+$BY9+$CE9+$CK9+$CQ9+$CW9+$DC9+$DI9+$DO9+$DU9+$EA9)/$G9)/$J$26)/$I9</f>
        <v>0.65091933752921727</v>
      </c>
      <c r="EE9" s="139">
        <f t="shared" ref="EE9:EE25" si="105">EC$26-ED9</f>
        <v>1.9201007399193282E-2</v>
      </c>
      <c r="EF9" s="29">
        <f t="shared" ref="EF9:EF25" si="106">IF(EE9&gt;0,$G9*$I9*(($H$26+$L$26+$Q$26+$W$26+$AC$26+$AI$26+$AO$26+$AU$26+$BA$26+$BG$26+$BM$26+$BS$26+$BY$26+$CE$26+$CK$26+$CQ$26+$CW$26+$DC$26+$DI$26+$DO$26+$DU$26+$EA$26)/$G$26)*EE9,0)</f>
        <v>198835.17971270432</v>
      </c>
      <c r="EG9" s="140">
        <f t="shared" ref="EG9:EG25" si="107">IF((EB$26-EF$26)&gt;0,EF9,EB$26*EF9/EF$26)</f>
        <v>0</v>
      </c>
      <c r="EH9" s="148" t="s">
        <v>8</v>
      </c>
      <c r="EI9" s="138" t="s">
        <v>8</v>
      </c>
      <c r="EJ9" s="152">
        <f t="shared" ref="EJ9:EJ25" si="108">((($H9+$L9+$Q9+$W9+$AC9+$AI9+$AO9+$AU9+$BA9+$BG9+$BM9+$BS9+$BY9+$CE9+$CK9+$CQ9+$CW9+$DC9+$DI9+$DO9+$DU9+$EA9+$EG9)/$G9)/$J$26)/$I9</f>
        <v>0.65091933752921727</v>
      </c>
      <c r="EK9" s="139">
        <f t="shared" ref="EK9:EK25" si="109">EI$26-EJ9</f>
        <v>1.9201007399193282E-2</v>
      </c>
      <c r="EL9" s="29">
        <f t="shared" ref="EL9:EL25" si="110">IF(EK9&gt;0,$G9*$I9*(($H$26+$L$26+$Q$26+$W$26+$AC$26+$AI$26+$AO$26+$AU$26+$BA$26+$BG$26+$BM$26+$BS$26+$BY$26+$CE$26+$CK$26+$CQ$26+$CW$26+$DC$26+$DI$26+$DO$26+$DU$26+$EA$26+$EG$26)/$G$26)*EK9,0)</f>
        <v>198835.17971270432</v>
      </c>
      <c r="EM9" s="140">
        <f t="shared" ref="EM9:EM25" si="111">IF((EH$26-EL$26)&gt;0,EL9,EH$26*EL9/EL$26)</f>
        <v>0</v>
      </c>
      <c r="EN9" s="68" t="s">
        <v>8</v>
      </c>
      <c r="EO9" s="41" t="s">
        <v>8</v>
      </c>
      <c r="EP9" s="153">
        <f t="shared" ref="EP9:EP25" si="112">((($H9+$L9+$Q9+$W9+$AC9+$AI9+$AO9+$AU9+$BA9+$BG9+$BM9+$BS9+$BY9+$CE9+$CK9+$CQ9+$CW9+$DC9+$DI9+$DO9+$DU9+$EA9+$EG9+$EM9)/$G9)/$J$26)/$I9</f>
        <v>0.65091933752921727</v>
      </c>
      <c r="EQ9" s="44">
        <f t="shared" ref="EQ9:EQ25" si="113">EO$26-EP9</f>
        <v>1.9201007399193282E-2</v>
      </c>
      <c r="ER9" s="46">
        <f t="shared" ref="ER9:ER25" si="114">IF(EQ9&gt;0,$G9*$I9*(($H$26+$L$26+$Q$26+$W$26+$AC$26+$AI$26+$AO$26+$AU$26+$BA$26+$BG$26+$BM$26+$BS$26+$BY$26+$CE$26+$CK$26+$CQ$26+$CW$26+$DC$26+$DI$26+$DO$26+$DU$26+$EA$26+$EG$26+$EM$26)/$G$26)*EQ9,0)</f>
        <v>198835.17971270432</v>
      </c>
      <c r="ES9" s="72">
        <f t="shared" ref="ES9:ES25" si="115">IF((EN$26-ER$26)&gt;0,ER9,EN$26*ER9/ER$26)</f>
        <v>0</v>
      </c>
      <c r="ET9" s="148" t="s">
        <v>8</v>
      </c>
      <c r="EU9" s="138" t="s">
        <v>8</v>
      </c>
      <c r="EV9" s="152">
        <f t="shared" ref="EV9:EV25" si="116">((($H9+$L9+$Q9+$W9+$AC9+$AI9+$AO9+$AU9+$BA9+$BG9+$BM9+$BS9+$BY9+$CE9+$CK9+$CQ9+$CW9+$DC9+$DI9+$DO9+$DU9+$EA9+$EG9+$EM9+$ES9)/$G9)/$J$26)/$I9</f>
        <v>0.65091933752921727</v>
      </c>
      <c r="EW9" s="139">
        <f t="shared" ref="EW9:EW25" si="117">EU$26-EV9</f>
        <v>1.9201007399193282E-2</v>
      </c>
      <c r="EX9" s="29">
        <f t="shared" ref="EX9:EX25" si="118">IF(EW9&gt;0,$G9*$I9*(($H$26+$L$26+$Q$26+$W$26+$AC$26+$AI$26+$AO$26+$AU$26+$BA$26+$BG$26+$BM$26+$BS$26+$BY$26+$CE$26+$CK$26+$CQ$26+$CW$26+$DC$26+$DI$26+$DO$26+$DU$26+$EA$26+$EG$26+$EM$26+$ES$26)/$G$26)*EW9,0)</f>
        <v>198835.17971270432</v>
      </c>
      <c r="EY9" s="140">
        <f t="shared" ref="EY9:EY25" si="119">IF((ET$26-EX$26)&gt;0,EX9,ET$26*EX9/EX$26)</f>
        <v>0</v>
      </c>
      <c r="EZ9" s="148" t="s">
        <v>8</v>
      </c>
      <c r="FA9" s="138" t="s">
        <v>8</v>
      </c>
      <c r="FB9" s="152">
        <f t="shared" ref="FB9:FB25" si="120">((($H9+$L9+$Q9+$W9+$AC9+$AI9+$AO9+$AU9+$BA9+$BG9+$BM9+$BS9+$BY9+$CE9+$CK9+$CQ9+$CW9+$DC9+$DI9+$DO9+$DU9+$EA9+$EG9+$EM9+$ES9+$EY9)/$G9)/$J$26)/$I9</f>
        <v>0.65091933752921727</v>
      </c>
      <c r="FC9" s="139">
        <f t="shared" ref="FC9:FC25" si="121">FA$26-FB9</f>
        <v>1.9201007399193282E-2</v>
      </c>
      <c r="FD9" s="29">
        <f t="shared" ref="FD9:FD25" si="122">IF(FC9&gt;0,$G9*$I9*(($H$26+$L$26+$Q$26+$W$26+$AC$26+$AI$26+$AO$26+$AU$26+$BA$26+$BG$26+$BM$26+$BS$26+$BY$26+$CE$26+$CK$26+$CQ$26+$CW$26+$DC$26+$DI$26+$DO$26+$DU$26+$EA$26+$EG$26+$EM$26+$ES$26+$EY$26)/$G$26)*FC9,0)</f>
        <v>198835.17971270432</v>
      </c>
      <c r="FE9" s="140">
        <f t="shared" ref="FE9:FE25" si="123">IF((EZ$26-FD$26)&gt;0,FD9,EZ$26*FD9/FD$26)</f>
        <v>0</v>
      </c>
      <c r="FF9" s="148" t="s">
        <v>8</v>
      </c>
      <c r="FG9" s="138" t="s">
        <v>8</v>
      </c>
      <c r="FH9" s="152">
        <f t="shared" ref="FH9:FH25" si="124">((($H9+$L9+$Q9+$W9+$AC9+$AI9+$AO9+$AU9+$BA9+$BG9+$BM9+$BS9+$BY9+$CE9+$CK9+$CQ9+$CW9+$DC9+$DI9+$DO9+$DU9+$EA9+$EG9+$EM9+$ES9+$EY9+$FE9)/$G9)/$J$26)/$I9</f>
        <v>0.65091933752921727</v>
      </c>
      <c r="FI9" s="139">
        <f t="shared" ref="FI9:FI25" si="125">FG$26-FH9</f>
        <v>1.9201007399193282E-2</v>
      </c>
      <c r="FJ9" s="29">
        <f t="shared" ref="FJ9:FJ25" si="126">IF(FI9&gt;0,$G9*$I9*(($H$26+$L$26+$Q$26+$W$26+$AC$26+$AI$26+$AO$26+$AU$26+$BA$26+$BG$26+$BM$26+$BS$26+$BY$26+$CE$26+$CK$26+$CQ$26+$CW$26+$DC$26+$DI$26+$DO$26+$DU$26+$EA$26+$EG$26+$EM$26+$ES$26+$EY$26+$FE$26)/$G$26)*FI9,0)</f>
        <v>198835.17971270432</v>
      </c>
      <c r="FK9" s="140">
        <f t="shared" ref="FK9:FK25" si="127">IF((FF$26-FJ$26)&gt;0,FJ9,FF$26*FJ9/FJ$26)</f>
        <v>0</v>
      </c>
      <c r="FL9" s="148" t="s">
        <v>8</v>
      </c>
      <c r="FM9" s="138" t="s">
        <v>8</v>
      </c>
      <c r="FN9" s="152">
        <f t="shared" ref="FN9:FN25" si="128">((($H9+$L9+$Q9+$W9+$AC9+$AI9+$AO9+$AU9+$BA9+$BG9+$BM9+$BS9+$BY9+$CE9+$CK9+$CQ9+$CW9+$DC9+$DI9+$DO9+$DU9+$EA9+$EG9+$EM9+$ES9+$EY9+$FE9+$FK9)/$G9)/$J$26)/$I9</f>
        <v>0.65091933752921727</v>
      </c>
      <c r="FO9" s="139">
        <f t="shared" ref="FO9:FO25" si="129">FM$26-FN9</f>
        <v>1.9201007399193282E-2</v>
      </c>
      <c r="FP9" s="29">
        <f t="shared" ref="FP9:FP25" si="130">IF(FO9&gt;0,$G9*$I9*(($H$26+$L$26+$Q$26+$W$26+$AC$26+$AI$26+$AO$26+$AU$26+$BA$26+$BG$26+$BM$26+$BS$26+$BY$26+$CE$26+$CK$26+$CQ$26+$CW$26+$DC$26+$DI$26+$DO$26+$DU$26+$EA$26+$EG$26+$EM$26+$ES$26+$EY$26+$FE$26+$FK$26)/$G$26)*FO9,0)</f>
        <v>198835.17971270432</v>
      </c>
      <c r="FQ9" s="140">
        <f t="shared" ref="FQ9:FQ25" si="131">IF((FL$26-FP$26)&gt;0,FP9,FL$26*FP9/FP$26)</f>
        <v>0</v>
      </c>
      <c r="FR9" s="148" t="s">
        <v>8</v>
      </c>
      <c r="FS9" s="138" t="s">
        <v>8</v>
      </c>
      <c r="FT9" s="152">
        <f t="shared" ref="FT9:FT25" si="132">((($H9+$L9+$Q9+$W9+$AC9+$AI9+$AO9+$AU9+$BA9+$BG9+$BM9+$BS9+$BY9+$CE9+$CK9+$CQ9+$CW9+$DC9+$DI9+$DO9+$DU9+$EA9+$EG9+$EM9+$ES9+$EY9+$FE9+$FK9+$FQ9)/$G9)/$J$26)/$I9</f>
        <v>0.65091933752921727</v>
      </c>
      <c r="FU9" s="139">
        <f t="shared" ref="FU9:FU25" si="133">FS$26-FT9</f>
        <v>1.9201007399193282E-2</v>
      </c>
      <c r="FV9" s="29">
        <f t="shared" ref="FV9:FV25" si="134">IF(FU9&gt;0,$G9*$I9*(($H$26+$L$26+$Q$26+$W$26+$AC$26+$AI$26+$AO$26+$AU$26+$BA$26+$BG$26+$BM$26+$BS$26+$BY$26+$CE$26+$CK$26+$CQ$26+$CW$26+$DC$26+$DI$26+$DO$26+$DU$26+$EA$26+$EG$26+$EM$26+$ES$26+$EY$26+$FE$26+$FK$26+$FQ$26)/$G$26)*FU9,0)</f>
        <v>198835.17971270432</v>
      </c>
      <c r="FW9" s="140">
        <f t="shared" ref="FW9:FW25" si="135">IF((FR$26-FV$26)&gt;0,FV9,FR$26*FV9/FV$26)</f>
        <v>0</v>
      </c>
      <c r="FX9" s="148" t="s">
        <v>8</v>
      </c>
      <c r="FY9" s="138" t="s">
        <v>8</v>
      </c>
      <c r="FZ9" s="152">
        <f t="shared" ref="FZ9:FZ25" si="136">((($H9+$L9+$Q9+$W9+$AC9+$AI9+$AO9+$AU9+$BA9+$BG9+$BM9+$BS9+$BY9+$CE9+$CK9+$CQ9+$CW9+$DC9+$DI9+$DO9+$DU9+$EA9+$EG9+$EM9+$ES9+$EY9+$FE9+$FK9+$FQ9+$FW9)/$G9)/$J$26)/$I9</f>
        <v>0.65091933752921727</v>
      </c>
      <c r="GA9" s="139">
        <f t="shared" ref="GA9:GA25" si="137">FY$26-FZ9</f>
        <v>1.9201007399193282E-2</v>
      </c>
      <c r="GB9" s="29">
        <f t="shared" ref="GB9:GB25" si="138">IF(GA9&gt;0,$G9*$I9*(($H$26+$L$26+$Q$26+$W$26+$AC$26+$AI$26+$AO$26+$AU$26+$BA$26+$BG$26+$BM$26+$BS$26+$BY$26+$CE$26+$CK$26+$CQ$26+$CW$26+$DC$26+$DI$26+$DO$26+$DU$26+$EA$26+$EG$26+$EM$26+$ES$26+$EY$26+$FE$26+$FK$26+$FQ$26+$FW$26)/$G$26)*GA9,0)</f>
        <v>198835.17971270432</v>
      </c>
      <c r="GC9" s="140">
        <f t="shared" ref="GC9:GC25" si="139">IF((FX$26-GB$26)&gt;0,GB9,FX$26*GB9/GB$26)</f>
        <v>0</v>
      </c>
      <c r="GD9" s="148" t="s">
        <v>8</v>
      </c>
      <c r="GE9" s="138" t="s">
        <v>8</v>
      </c>
      <c r="GF9" s="152">
        <f t="shared" ref="GF9:GF25" si="140">((($H9+$L9+$Q9+$W9+$AC9+$AI9+$AO9+$AU9+$BA9+$BG9+$BM9+$BS9+$BY9+$CE9+$CK9+$CQ9+$CW9+$DC9+$DI9+$DO9+$DU9+$EA9+$EG9+$EM9+$ES9+$EY9+$FE9+$FK9+$FQ9+$FW9+$GC9)/$G9)/$J$26)/$I9</f>
        <v>0.65091933752921727</v>
      </c>
      <c r="GG9" s="139">
        <f t="shared" ref="GG9:GG25" si="141">GE$26-GF9</f>
        <v>1.9201007399193282E-2</v>
      </c>
      <c r="GH9" s="29">
        <f t="shared" ref="GH9:GH25" si="142">IF(GG9&gt;0,$G9*$I9*(($H$26+$L$26+$Q$26+$W$26+$AC$26+$AI$26+$AO$26+$AU$26+$BA$26+$BG$26+$BM$26+$BS$26+$BY$26+$CE$26+$CK$26+$CQ$26+$CW$26+$DC$26+$DI$26+$DO$26+$DU$26+$EA$26+$EG$26+$EM$26+$ES$26+$EY$26+$FE$26+$FK$26+$FQ$26+$FW$26+$GC$26)/$G$26)*GG9,0)</f>
        <v>198835.17971270432</v>
      </c>
      <c r="GI9" s="156">
        <f t="shared" ref="GI9:GI25" si="143">IF((GD$26-GH$26)&gt;0,GH9,GD$26*GH9/GH$26)</f>
        <v>0</v>
      </c>
      <c r="GJ9" s="154">
        <f>Q9+W9+AC9+AI9+AO9+AU9+BA9+BG9+BM9+BS9+BY9+CE9+CK9+CQ9+CW9+DC9+DI9+DO9+DU9+EA9+EG9+EM9+ES9+EY9+FE9+FK9+FQ9+FW9+GC9+GI9</f>
        <v>2308342.9448522413</v>
      </c>
      <c r="GK9" s="237">
        <f t="shared" ref="GK9:GK26" si="144">L9+GJ9</f>
        <v>2387044.862692568</v>
      </c>
      <c r="GL9" s="195">
        <f t="shared" ref="GL9:GL25" si="145">K9+GK9/($H$26/$G$26)/G9/I9</f>
        <v>0.65091933752921738</v>
      </c>
      <c r="GM9" s="141">
        <v>2387044.86</v>
      </c>
      <c r="GN9" s="244"/>
    </row>
    <row r="10" spans="1:196" s="20" customFormat="1" x14ac:dyDescent="0.25">
      <c r="A10" s="159" t="s">
        <v>173</v>
      </c>
      <c r="B10" s="130" t="s">
        <v>8</v>
      </c>
      <c r="C10" s="130" t="s">
        <v>8</v>
      </c>
      <c r="D10" s="130" t="s">
        <v>8</v>
      </c>
      <c r="E10" s="130" t="s">
        <v>8</v>
      </c>
      <c r="F10" s="130" t="s">
        <v>8</v>
      </c>
      <c r="G10" s="95">
        <f>'Исходные данные'!C12</f>
        <v>690</v>
      </c>
      <c r="H10" s="42">
        <f>'Исходные данные'!F12</f>
        <v>1030441</v>
      </c>
      <c r="I10" s="27">
        <f>'Расчет КРП'!G8</f>
        <v>3.3834257287327114</v>
      </c>
      <c r="J10" s="102" t="s">
        <v>8</v>
      </c>
      <c r="K10" s="106">
        <f t="shared" si="22"/>
        <v>0.23330407943293779</v>
      </c>
      <c r="L10" s="70">
        <f t="shared" si="23"/>
        <v>61430.229988490115</v>
      </c>
      <c r="M10" s="66">
        <f t="shared" si="24"/>
        <v>0.24721261301886688</v>
      </c>
      <c r="N10" s="25" t="s">
        <v>8</v>
      </c>
      <c r="O10" s="28">
        <f t="shared" si="25"/>
        <v>2.4175734865159337E-2</v>
      </c>
      <c r="P10" s="29">
        <f t="shared" si="26"/>
        <v>111802.47675869337</v>
      </c>
      <c r="Q10" s="73">
        <f t="shared" si="27"/>
        <v>111802.47675869337</v>
      </c>
      <c r="R10" s="135" t="s">
        <v>8</v>
      </c>
      <c r="S10" s="25" t="s">
        <v>8</v>
      </c>
      <c r="T10" s="30">
        <f t="shared" si="28"/>
        <v>0.27252602147069421</v>
      </c>
      <c r="U10" s="28">
        <f t="shared" si="29"/>
        <v>7.3217803637854739E-2</v>
      </c>
      <c r="V10" s="46">
        <f t="shared" si="30"/>
        <v>387476.71104403742</v>
      </c>
      <c r="W10" s="73">
        <f t="shared" si="31"/>
        <v>387476.71104403742</v>
      </c>
      <c r="X10" s="69" t="s">
        <v>8</v>
      </c>
      <c r="Y10" s="25" t="s">
        <v>8</v>
      </c>
      <c r="Z10" s="30">
        <f t="shared" si="32"/>
        <v>0.36025535034234391</v>
      </c>
      <c r="AA10" s="28">
        <f t="shared" si="33"/>
        <v>4.9596163518029202E-2</v>
      </c>
      <c r="AB10" s="46">
        <f t="shared" si="34"/>
        <v>290899.95850198349</v>
      </c>
      <c r="AC10" s="73">
        <f t="shared" si="35"/>
        <v>290899.95850198349</v>
      </c>
      <c r="AD10" s="69" t="s">
        <v>8</v>
      </c>
      <c r="AE10" s="25" t="s">
        <v>8</v>
      </c>
      <c r="AF10" s="30">
        <f t="shared" si="36"/>
        <v>0.42611855553835709</v>
      </c>
      <c r="AG10" s="28">
        <f t="shared" si="37"/>
        <v>4.0595976260261291E-2</v>
      </c>
      <c r="AH10" s="46">
        <f t="shared" si="38"/>
        <v>258930.43816662251</v>
      </c>
      <c r="AI10" s="73">
        <f t="shared" si="39"/>
        <v>258930.43816662251</v>
      </c>
      <c r="AJ10" s="69" t="s">
        <v>8</v>
      </c>
      <c r="AK10" s="25" t="s">
        <v>8</v>
      </c>
      <c r="AL10" s="30">
        <f t="shared" si="40"/>
        <v>0.48474348167544895</v>
      </c>
      <c r="AM10" s="28">
        <f t="shared" si="41"/>
        <v>3.3157108558720616E-2</v>
      </c>
      <c r="AN10" s="46">
        <f t="shared" si="42"/>
        <v>226821.13911231127</v>
      </c>
      <c r="AO10" s="73">
        <f t="shared" si="43"/>
        <v>226821.13911231127</v>
      </c>
      <c r="AP10" s="69" t="s">
        <v>8</v>
      </c>
      <c r="AQ10" s="25" t="s">
        <v>8</v>
      </c>
      <c r="AR10" s="30">
        <f t="shared" si="44"/>
        <v>0.53609848119170289</v>
      </c>
      <c r="AS10" s="28">
        <f t="shared" si="45"/>
        <v>2.789158263540914E-2</v>
      </c>
      <c r="AT10" s="46">
        <f t="shared" si="46"/>
        <v>202433.94027592012</v>
      </c>
      <c r="AU10" s="73">
        <f t="shared" si="47"/>
        <v>202433.94027592012</v>
      </c>
      <c r="AV10" s="69" t="s">
        <v>8</v>
      </c>
      <c r="AW10" s="25" t="s">
        <v>8</v>
      </c>
      <c r="AX10" s="30">
        <f t="shared" si="48"/>
        <v>0.58193192928048787</v>
      </c>
      <c r="AY10" s="28">
        <f t="shared" si="49"/>
        <v>2.2542424030047914E-2</v>
      </c>
      <c r="AZ10" s="46">
        <f t="shared" si="50"/>
        <v>171862.51478328687</v>
      </c>
      <c r="BA10" s="73">
        <f t="shared" si="51"/>
        <v>171862.51478328687</v>
      </c>
      <c r="BB10" s="69" t="s">
        <v>8</v>
      </c>
      <c r="BC10" s="25" t="s">
        <v>8</v>
      </c>
      <c r="BD10" s="30">
        <f t="shared" si="52"/>
        <v>0.62084364358586253</v>
      </c>
      <c r="BE10" s="28">
        <f t="shared" si="53"/>
        <v>2.1560626873862399E-2</v>
      </c>
      <c r="BF10" s="46">
        <f t="shared" si="54"/>
        <v>177497.60410283029</v>
      </c>
      <c r="BG10" s="73">
        <f t="shared" si="55"/>
        <v>132853.83101725829</v>
      </c>
      <c r="BH10" s="69" t="s">
        <v>8</v>
      </c>
      <c r="BI10" s="25" t="s">
        <v>8</v>
      </c>
      <c r="BJ10" s="30">
        <f t="shared" si="56"/>
        <v>0.65092332863781632</v>
      </c>
      <c r="BK10" s="28">
        <f t="shared" si="57"/>
        <v>1.9197016290594227E-2</v>
      </c>
      <c r="BL10" s="46">
        <f t="shared" si="58"/>
        <v>164587.95870781661</v>
      </c>
      <c r="BM10" s="73">
        <f t="shared" si="59"/>
        <v>0</v>
      </c>
      <c r="BN10" s="69" t="s">
        <v>8</v>
      </c>
      <c r="BO10" s="25" t="s">
        <v>8</v>
      </c>
      <c r="BP10" s="30">
        <f t="shared" si="60"/>
        <v>0.65092332863781632</v>
      </c>
      <c r="BQ10" s="28">
        <f t="shared" si="61"/>
        <v>1.9197016290594227E-2</v>
      </c>
      <c r="BR10" s="46">
        <f t="shared" si="62"/>
        <v>164587.95870781661</v>
      </c>
      <c r="BS10" s="113">
        <f t="shared" si="63"/>
        <v>0</v>
      </c>
      <c r="BT10" s="69" t="s">
        <v>8</v>
      </c>
      <c r="BU10" s="25" t="s">
        <v>8</v>
      </c>
      <c r="BV10" s="30">
        <f t="shared" si="64"/>
        <v>0.65092332863781632</v>
      </c>
      <c r="BW10" s="28">
        <f t="shared" si="65"/>
        <v>1.9197016290594227E-2</v>
      </c>
      <c r="BX10" s="46">
        <f t="shared" si="66"/>
        <v>164587.95870781661</v>
      </c>
      <c r="BY10" s="113">
        <f t="shared" si="67"/>
        <v>0</v>
      </c>
      <c r="BZ10" s="69" t="s">
        <v>8</v>
      </c>
      <c r="CA10" s="25" t="s">
        <v>8</v>
      </c>
      <c r="CB10" s="30">
        <f t="shared" si="68"/>
        <v>0.65092332863781632</v>
      </c>
      <c r="CC10" s="28">
        <f t="shared" si="69"/>
        <v>1.9197016290594227E-2</v>
      </c>
      <c r="CD10" s="46">
        <f t="shared" si="70"/>
        <v>164587.95870781661</v>
      </c>
      <c r="CE10" s="113">
        <f t="shared" si="71"/>
        <v>0</v>
      </c>
      <c r="CF10" s="69" t="s">
        <v>8</v>
      </c>
      <c r="CG10" s="25" t="s">
        <v>8</v>
      </c>
      <c r="CH10" s="30">
        <f t="shared" si="72"/>
        <v>0.65092332863781632</v>
      </c>
      <c r="CI10" s="28">
        <f t="shared" si="73"/>
        <v>1.9197016290594227E-2</v>
      </c>
      <c r="CJ10" s="46">
        <f t="shared" si="74"/>
        <v>164587.95870781661</v>
      </c>
      <c r="CK10" s="113">
        <f t="shared" si="75"/>
        <v>0</v>
      </c>
      <c r="CL10" s="69" t="s">
        <v>8</v>
      </c>
      <c r="CM10" s="25" t="s">
        <v>8</v>
      </c>
      <c r="CN10" s="30">
        <f t="shared" si="76"/>
        <v>0.65092332863781632</v>
      </c>
      <c r="CO10" s="28">
        <f t="shared" si="77"/>
        <v>1.9197016290594227E-2</v>
      </c>
      <c r="CP10" s="46">
        <f t="shared" si="78"/>
        <v>164587.95870781661</v>
      </c>
      <c r="CQ10" s="113">
        <f t="shared" si="79"/>
        <v>0</v>
      </c>
      <c r="CR10" s="69" t="s">
        <v>8</v>
      </c>
      <c r="CS10" s="25" t="s">
        <v>8</v>
      </c>
      <c r="CT10" s="30">
        <f t="shared" si="80"/>
        <v>0.65092332863781632</v>
      </c>
      <c r="CU10" s="28">
        <f t="shared" si="81"/>
        <v>1.9197016290594227E-2</v>
      </c>
      <c r="CV10" s="46">
        <f t="shared" si="82"/>
        <v>164587.95870781661</v>
      </c>
      <c r="CW10" s="113">
        <f t="shared" si="83"/>
        <v>0</v>
      </c>
      <c r="CX10" s="69" t="s">
        <v>8</v>
      </c>
      <c r="CY10" s="25" t="s">
        <v>8</v>
      </c>
      <c r="CZ10" s="30">
        <f t="shared" si="84"/>
        <v>0.65092332863781632</v>
      </c>
      <c r="DA10" s="28">
        <f t="shared" si="85"/>
        <v>1.9197016290594227E-2</v>
      </c>
      <c r="DB10" s="46">
        <f t="shared" si="86"/>
        <v>164587.95870781661</v>
      </c>
      <c r="DC10" s="113">
        <f t="shared" si="87"/>
        <v>0</v>
      </c>
      <c r="DD10" s="69" t="s">
        <v>8</v>
      </c>
      <c r="DE10" s="25" t="s">
        <v>8</v>
      </c>
      <c r="DF10" s="30">
        <f t="shared" si="88"/>
        <v>0.65092332863781632</v>
      </c>
      <c r="DG10" s="28">
        <f t="shared" si="89"/>
        <v>1.9197016290594227E-2</v>
      </c>
      <c r="DH10" s="46">
        <f t="shared" si="90"/>
        <v>164587.95870781661</v>
      </c>
      <c r="DI10" s="113">
        <f t="shared" si="91"/>
        <v>0</v>
      </c>
      <c r="DJ10" s="69" t="s">
        <v>8</v>
      </c>
      <c r="DK10" s="25" t="s">
        <v>8</v>
      </c>
      <c r="DL10" s="30">
        <f t="shared" si="92"/>
        <v>0.65092332863781632</v>
      </c>
      <c r="DM10" s="28">
        <f t="shared" si="93"/>
        <v>1.9197016290594227E-2</v>
      </c>
      <c r="DN10" s="46">
        <f t="shared" si="94"/>
        <v>164587.95870781661</v>
      </c>
      <c r="DO10" s="113">
        <f t="shared" si="95"/>
        <v>0</v>
      </c>
      <c r="DP10" s="69" t="s">
        <v>8</v>
      </c>
      <c r="DQ10" s="25" t="s">
        <v>8</v>
      </c>
      <c r="DR10" s="30">
        <f t="shared" si="96"/>
        <v>0.65092332863781632</v>
      </c>
      <c r="DS10" s="28">
        <f t="shared" si="97"/>
        <v>1.9197016290594227E-2</v>
      </c>
      <c r="DT10" s="46">
        <f t="shared" si="98"/>
        <v>164587.95870781661</v>
      </c>
      <c r="DU10" s="113">
        <f t="shared" si="99"/>
        <v>0</v>
      </c>
      <c r="DV10" s="69" t="s">
        <v>8</v>
      </c>
      <c r="DW10" s="25" t="s">
        <v>8</v>
      </c>
      <c r="DX10" s="30">
        <f t="shared" si="100"/>
        <v>0.65092332863781632</v>
      </c>
      <c r="DY10" s="28">
        <f t="shared" si="101"/>
        <v>1.9197016290594227E-2</v>
      </c>
      <c r="DZ10" s="29">
        <f t="shared" si="102"/>
        <v>164587.95870781661</v>
      </c>
      <c r="EA10" s="73">
        <f t="shared" si="103"/>
        <v>0</v>
      </c>
      <c r="EB10" s="69" t="s">
        <v>8</v>
      </c>
      <c r="EC10" s="25" t="s">
        <v>8</v>
      </c>
      <c r="ED10" s="30">
        <f t="shared" si="104"/>
        <v>0.65092332863781632</v>
      </c>
      <c r="EE10" s="28">
        <f t="shared" si="105"/>
        <v>1.9197016290594227E-2</v>
      </c>
      <c r="EF10" s="29">
        <f t="shared" si="106"/>
        <v>164587.95870781661</v>
      </c>
      <c r="EG10" s="73">
        <f t="shared" si="107"/>
        <v>0</v>
      </c>
      <c r="EH10" s="69" t="s">
        <v>8</v>
      </c>
      <c r="EI10" s="25" t="s">
        <v>8</v>
      </c>
      <c r="EJ10" s="30">
        <f t="shared" si="108"/>
        <v>0.65092332863781632</v>
      </c>
      <c r="EK10" s="28">
        <f t="shared" si="109"/>
        <v>1.9197016290594227E-2</v>
      </c>
      <c r="EL10" s="29">
        <f t="shared" si="110"/>
        <v>164587.95870781661</v>
      </c>
      <c r="EM10" s="73">
        <f t="shared" si="111"/>
        <v>0</v>
      </c>
      <c r="EN10" s="69" t="s">
        <v>8</v>
      </c>
      <c r="EO10" s="25" t="s">
        <v>8</v>
      </c>
      <c r="EP10" s="30">
        <f t="shared" si="112"/>
        <v>0.65092332863781632</v>
      </c>
      <c r="EQ10" s="28">
        <f t="shared" si="113"/>
        <v>1.9197016290594227E-2</v>
      </c>
      <c r="ER10" s="29">
        <f t="shared" si="114"/>
        <v>164587.95870781661</v>
      </c>
      <c r="ES10" s="73">
        <f t="shared" si="115"/>
        <v>0</v>
      </c>
      <c r="ET10" s="69" t="s">
        <v>8</v>
      </c>
      <c r="EU10" s="25" t="s">
        <v>8</v>
      </c>
      <c r="EV10" s="30">
        <f t="shared" si="116"/>
        <v>0.65092332863781632</v>
      </c>
      <c r="EW10" s="28">
        <f t="shared" si="117"/>
        <v>1.9197016290594227E-2</v>
      </c>
      <c r="EX10" s="29">
        <f t="shared" si="118"/>
        <v>164587.95870781661</v>
      </c>
      <c r="EY10" s="73">
        <f t="shared" si="119"/>
        <v>0</v>
      </c>
      <c r="EZ10" s="69" t="s">
        <v>8</v>
      </c>
      <c r="FA10" s="25" t="s">
        <v>8</v>
      </c>
      <c r="FB10" s="30">
        <f t="shared" si="120"/>
        <v>0.65092332863781632</v>
      </c>
      <c r="FC10" s="28">
        <f t="shared" si="121"/>
        <v>1.9197016290594227E-2</v>
      </c>
      <c r="FD10" s="29">
        <f t="shared" si="122"/>
        <v>164587.95870781661</v>
      </c>
      <c r="FE10" s="73">
        <f t="shared" si="123"/>
        <v>0</v>
      </c>
      <c r="FF10" s="69" t="s">
        <v>8</v>
      </c>
      <c r="FG10" s="25" t="s">
        <v>8</v>
      </c>
      <c r="FH10" s="30">
        <f t="shared" si="124"/>
        <v>0.65092332863781632</v>
      </c>
      <c r="FI10" s="28">
        <f t="shared" si="125"/>
        <v>1.9197016290594227E-2</v>
      </c>
      <c r="FJ10" s="29">
        <f t="shared" si="126"/>
        <v>164587.95870781661</v>
      </c>
      <c r="FK10" s="73">
        <f t="shared" si="127"/>
        <v>0</v>
      </c>
      <c r="FL10" s="69" t="s">
        <v>8</v>
      </c>
      <c r="FM10" s="25" t="s">
        <v>8</v>
      </c>
      <c r="FN10" s="30">
        <f t="shared" si="128"/>
        <v>0.65092332863781632</v>
      </c>
      <c r="FO10" s="28">
        <f t="shared" si="129"/>
        <v>1.9197016290594227E-2</v>
      </c>
      <c r="FP10" s="29">
        <f t="shared" si="130"/>
        <v>164587.95870781661</v>
      </c>
      <c r="FQ10" s="73">
        <f t="shared" si="131"/>
        <v>0</v>
      </c>
      <c r="FR10" s="69" t="s">
        <v>8</v>
      </c>
      <c r="FS10" s="25" t="s">
        <v>8</v>
      </c>
      <c r="FT10" s="30">
        <f t="shared" si="132"/>
        <v>0.65092332863781632</v>
      </c>
      <c r="FU10" s="28">
        <f t="shared" si="133"/>
        <v>1.9197016290594227E-2</v>
      </c>
      <c r="FV10" s="29">
        <f t="shared" si="134"/>
        <v>164587.95870781661</v>
      </c>
      <c r="FW10" s="73">
        <f t="shared" si="135"/>
        <v>0</v>
      </c>
      <c r="FX10" s="69" t="s">
        <v>8</v>
      </c>
      <c r="FY10" s="25" t="s">
        <v>8</v>
      </c>
      <c r="FZ10" s="30">
        <f t="shared" si="136"/>
        <v>0.65092332863781632</v>
      </c>
      <c r="GA10" s="28">
        <f t="shared" si="137"/>
        <v>1.9197016290594227E-2</v>
      </c>
      <c r="GB10" s="29">
        <f t="shared" si="138"/>
        <v>164587.95870781661</v>
      </c>
      <c r="GC10" s="73">
        <f t="shared" si="139"/>
        <v>0</v>
      </c>
      <c r="GD10" s="69" t="s">
        <v>8</v>
      </c>
      <c r="GE10" s="25" t="s">
        <v>8</v>
      </c>
      <c r="GF10" s="30">
        <f t="shared" si="140"/>
        <v>0.65092332863781632</v>
      </c>
      <c r="GG10" s="28">
        <f t="shared" si="141"/>
        <v>1.9197016290594227E-2</v>
      </c>
      <c r="GH10" s="29">
        <f t="shared" si="142"/>
        <v>164587.95870781661</v>
      </c>
      <c r="GI10" s="113">
        <f t="shared" si="143"/>
        <v>0</v>
      </c>
      <c r="GJ10" s="142">
        <f t="shared" ref="GJ10:GJ25" si="146">Q10+W10+AC10+AI10+AO10+AU10+BA10+BG10+BM10+BS10+BY10+CE10+CK10+CQ10+CW10+DC10+DI10+DO10+DU10+EA10+EG10+EM10+ES10+EY10+FE10+FK10+FQ10+FW10+GC10+GI10</f>
        <v>1783081.0096601134</v>
      </c>
      <c r="GK10" s="238">
        <f t="shared" si="144"/>
        <v>1844511.2396486034</v>
      </c>
      <c r="GL10" s="196">
        <f t="shared" si="145"/>
        <v>0.65092332863781643</v>
      </c>
      <c r="GM10" s="86">
        <v>1844511.24</v>
      </c>
      <c r="GN10" s="244"/>
    </row>
    <row r="11" spans="1:196" s="20" customFormat="1" ht="31.5" x14ac:dyDescent="0.25">
      <c r="A11" s="159" t="s">
        <v>174</v>
      </c>
      <c r="B11" s="130" t="s">
        <v>8</v>
      </c>
      <c r="C11" s="130" t="s">
        <v>8</v>
      </c>
      <c r="D11" s="130" t="s">
        <v>8</v>
      </c>
      <c r="E11" s="130" t="s">
        <v>8</v>
      </c>
      <c r="F11" s="130" t="s">
        <v>8</v>
      </c>
      <c r="G11" s="95">
        <f>'Исходные данные'!C13</f>
        <v>392</v>
      </c>
      <c r="H11" s="42">
        <f>'Исходные данные'!F13</f>
        <v>595059</v>
      </c>
      <c r="I11" s="27">
        <f>'Расчет КРП'!G9</f>
        <v>4.3953971848734499</v>
      </c>
      <c r="J11" s="102" t="s">
        <v>8</v>
      </c>
      <c r="K11" s="106">
        <f t="shared" si="22"/>
        <v>0.18254955386864397</v>
      </c>
      <c r="L11" s="70">
        <f t="shared" si="23"/>
        <v>34899.492978968294</v>
      </c>
      <c r="M11" s="66">
        <f t="shared" si="24"/>
        <v>0.19325586513114487</v>
      </c>
      <c r="N11" s="25" t="s">
        <v>8</v>
      </c>
      <c r="O11" s="28">
        <f t="shared" si="25"/>
        <v>7.8132482752881344E-2</v>
      </c>
      <c r="P11" s="29">
        <f t="shared" si="26"/>
        <v>266674.70274949132</v>
      </c>
      <c r="Q11" s="73">
        <f t="shared" si="27"/>
        <v>266674.70274949132</v>
      </c>
      <c r="R11" s="135" t="s">
        <v>8</v>
      </c>
      <c r="S11" s="25" t="s">
        <v>8</v>
      </c>
      <c r="T11" s="30">
        <f t="shared" si="28"/>
        <v>0.27506514457229753</v>
      </c>
      <c r="U11" s="28">
        <f t="shared" si="29"/>
        <v>7.0678680536251426E-2</v>
      </c>
      <c r="V11" s="46">
        <f t="shared" si="30"/>
        <v>276055.11309618416</v>
      </c>
      <c r="W11" s="73">
        <f t="shared" si="31"/>
        <v>276055.11309618416</v>
      </c>
      <c r="X11" s="69" t="s">
        <v>8</v>
      </c>
      <c r="Y11" s="25" t="s">
        <v>8</v>
      </c>
      <c r="Z11" s="30">
        <f t="shared" si="32"/>
        <v>0.35975210458612217</v>
      </c>
      <c r="AA11" s="28">
        <f t="shared" si="33"/>
        <v>5.0099409274250939E-2</v>
      </c>
      <c r="AB11" s="46">
        <f t="shared" si="34"/>
        <v>216873.57355878883</v>
      </c>
      <c r="AC11" s="73">
        <f t="shared" si="35"/>
        <v>216873.57355878883</v>
      </c>
      <c r="AD11" s="69" t="s">
        <v>8</v>
      </c>
      <c r="AE11" s="25" t="s">
        <v>8</v>
      </c>
      <c r="AF11" s="30">
        <f t="shared" si="36"/>
        <v>0.42628361507341062</v>
      </c>
      <c r="AG11" s="28">
        <f t="shared" si="37"/>
        <v>4.0430916725207766E-2</v>
      </c>
      <c r="AH11" s="46">
        <f t="shared" si="38"/>
        <v>190323.38770711765</v>
      </c>
      <c r="AI11" s="73">
        <f t="shared" si="39"/>
        <v>190323.38770711765</v>
      </c>
      <c r="AJ11" s="69" t="s">
        <v>8</v>
      </c>
      <c r="AK11" s="25" t="s">
        <v>8</v>
      </c>
      <c r="AL11" s="30">
        <f t="shared" si="40"/>
        <v>0.48467017761040831</v>
      </c>
      <c r="AM11" s="28">
        <f t="shared" si="41"/>
        <v>3.3230412623761252E-2</v>
      </c>
      <c r="AN11" s="46">
        <f t="shared" si="42"/>
        <v>167772.61139188521</v>
      </c>
      <c r="AO11" s="73">
        <f t="shared" si="43"/>
        <v>167772.61139188521</v>
      </c>
      <c r="AP11" s="69" t="s">
        <v>8</v>
      </c>
      <c r="AQ11" s="25" t="s">
        <v>8</v>
      </c>
      <c r="AR11" s="30">
        <f t="shared" si="44"/>
        <v>0.53613871326984042</v>
      </c>
      <c r="AS11" s="28">
        <f t="shared" si="45"/>
        <v>2.7851350557271615E-2</v>
      </c>
      <c r="AT11" s="46">
        <f t="shared" si="46"/>
        <v>149188.34107605321</v>
      </c>
      <c r="AU11" s="73">
        <f t="shared" si="47"/>
        <v>149188.34107605321</v>
      </c>
      <c r="AV11" s="69" t="s">
        <v>8</v>
      </c>
      <c r="AW11" s="25" t="s">
        <v>8</v>
      </c>
      <c r="AX11" s="30">
        <f t="shared" si="48"/>
        <v>0.58190604912365751</v>
      </c>
      <c r="AY11" s="28">
        <f t="shared" si="49"/>
        <v>2.2568304186878274E-2</v>
      </c>
      <c r="AZ11" s="46">
        <f t="shared" si="50"/>
        <v>126986.60980681136</v>
      </c>
      <c r="BA11" s="73">
        <f t="shared" si="51"/>
        <v>126986.60980681136</v>
      </c>
      <c r="BB11" s="69" t="s">
        <v>8</v>
      </c>
      <c r="BC11" s="25" t="s">
        <v>8</v>
      </c>
      <c r="BD11" s="30">
        <f t="shared" si="52"/>
        <v>0.62086243658695961</v>
      </c>
      <c r="BE11" s="28">
        <f t="shared" si="53"/>
        <v>2.1541833872765315E-2</v>
      </c>
      <c r="BF11" s="46">
        <f t="shared" si="54"/>
        <v>130885.71152876507</v>
      </c>
      <c r="BG11" s="73">
        <f t="shared" si="55"/>
        <v>97965.650240227085</v>
      </c>
      <c r="BH11" s="69" t="s">
        <v>8</v>
      </c>
      <c r="BI11" s="25" t="s">
        <v>8</v>
      </c>
      <c r="BJ11" s="30">
        <f t="shared" si="56"/>
        <v>0.6509159031269246</v>
      </c>
      <c r="BK11" s="28">
        <f t="shared" si="57"/>
        <v>1.920444180148595E-2</v>
      </c>
      <c r="BL11" s="46">
        <f t="shared" si="58"/>
        <v>121519.07874714347</v>
      </c>
      <c r="BM11" s="73">
        <f t="shared" si="59"/>
        <v>0</v>
      </c>
      <c r="BN11" s="69" t="s">
        <v>8</v>
      </c>
      <c r="BO11" s="25" t="s">
        <v>8</v>
      </c>
      <c r="BP11" s="30">
        <f t="shared" si="60"/>
        <v>0.6509159031269246</v>
      </c>
      <c r="BQ11" s="28">
        <f t="shared" si="61"/>
        <v>1.920444180148595E-2</v>
      </c>
      <c r="BR11" s="46">
        <f t="shared" si="62"/>
        <v>121519.07874714347</v>
      </c>
      <c r="BS11" s="113">
        <f t="shared" si="63"/>
        <v>0</v>
      </c>
      <c r="BT11" s="69" t="s">
        <v>8</v>
      </c>
      <c r="BU11" s="25" t="s">
        <v>8</v>
      </c>
      <c r="BV11" s="30">
        <f t="shared" si="64"/>
        <v>0.6509159031269246</v>
      </c>
      <c r="BW11" s="28">
        <f t="shared" si="65"/>
        <v>1.920444180148595E-2</v>
      </c>
      <c r="BX11" s="46">
        <f t="shared" si="66"/>
        <v>121519.07874714347</v>
      </c>
      <c r="BY11" s="113">
        <f t="shared" si="67"/>
        <v>0</v>
      </c>
      <c r="BZ11" s="69" t="s">
        <v>8</v>
      </c>
      <c r="CA11" s="25" t="s">
        <v>8</v>
      </c>
      <c r="CB11" s="30">
        <f t="shared" si="68"/>
        <v>0.6509159031269246</v>
      </c>
      <c r="CC11" s="28">
        <f t="shared" si="69"/>
        <v>1.920444180148595E-2</v>
      </c>
      <c r="CD11" s="46">
        <f t="shared" si="70"/>
        <v>121519.07874714347</v>
      </c>
      <c r="CE11" s="113">
        <f t="shared" si="71"/>
        <v>0</v>
      </c>
      <c r="CF11" s="69" t="s">
        <v>8</v>
      </c>
      <c r="CG11" s="25" t="s">
        <v>8</v>
      </c>
      <c r="CH11" s="30">
        <f t="shared" si="72"/>
        <v>0.6509159031269246</v>
      </c>
      <c r="CI11" s="28">
        <f t="shared" si="73"/>
        <v>1.920444180148595E-2</v>
      </c>
      <c r="CJ11" s="46">
        <f t="shared" si="74"/>
        <v>121519.07874714347</v>
      </c>
      <c r="CK11" s="113">
        <f t="shared" si="75"/>
        <v>0</v>
      </c>
      <c r="CL11" s="69" t="s">
        <v>8</v>
      </c>
      <c r="CM11" s="25" t="s">
        <v>8</v>
      </c>
      <c r="CN11" s="30">
        <f t="shared" si="76"/>
        <v>0.6509159031269246</v>
      </c>
      <c r="CO11" s="28">
        <f t="shared" si="77"/>
        <v>1.920444180148595E-2</v>
      </c>
      <c r="CP11" s="46">
        <f t="shared" si="78"/>
        <v>121519.07874714347</v>
      </c>
      <c r="CQ11" s="113">
        <f t="shared" si="79"/>
        <v>0</v>
      </c>
      <c r="CR11" s="69" t="s">
        <v>8</v>
      </c>
      <c r="CS11" s="25" t="s">
        <v>8</v>
      </c>
      <c r="CT11" s="30">
        <f t="shared" si="80"/>
        <v>0.6509159031269246</v>
      </c>
      <c r="CU11" s="28">
        <f t="shared" si="81"/>
        <v>1.920444180148595E-2</v>
      </c>
      <c r="CV11" s="46">
        <f t="shared" si="82"/>
        <v>121519.07874714347</v>
      </c>
      <c r="CW11" s="113">
        <f t="shared" si="83"/>
        <v>0</v>
      </c>
      <c r="CX11" s="69" t="s">
        <v>8</v>
      </c>
      <c r="CY11" s="25" t="s">
        <v>8</v>
      </c>
      <c r="CZ11" s="30">
        <f t="shared" si="84"/>
        <v>0.6509159031269246</v>
      </c>
      <c r="DA11" s="28">
        <f t="shared" si="85"/>
        <v>1.920444180148595E-2</v>
      </c>
      <c r="DB11" s="46">
        <f t="shared" si="86"/>
        <v>121519.07874714347</v>
      </c>
      <c r="DC11" s="113">
        <f t="shared" si="87"/>
        <v>0</v>
      </c>
      <c r="DD11" s="69" t="s">
        <v>8</v>
      </c>
      <c r="DE11" s="25" t="s">
        <v>8</v>
      </c>
      <c r="DF11" s="30">
        <f t="shared" si="88"/>
        <v>0.6509159031269246</v>
      </c>
      <c r="DG11" s="28">
        <f t="shared" si="89"/>
        <v>1.920444180148595E-2</v>
      </c>
      <c r="DH11" s="46">
        <f t="shared" si="90"/>
        <v>121519.07874714347</v>
      </c>
      <c r="DI11" s="113">
        <f t="shared" si="91"/>
        <v>0</v>
      </c>
      <c r="DJ11" s="69" t="s">
        <v>8</v>
      </c>
      <c r="DK11" s="25" t="s">
        <v>8</v>
      </c>
      <c r="DL11" s="30">
        <f t="shared" si="92"/>
        <v>0.6509159031269246</v>
      </c>
      <c r="DM11" s="28">
        <f t="shared" si="93"/>
        <v>1.920444180148595E-2</v>
      </c>
      <c r="DN11" s="46">
        <f t="shared" si="94"/>
        <v>121519.07874714347</v>
      </c>
      <c r="DO11" s="113">
        <f t="shared" si="95"/>
        <v>0</v>
      </c>
      <c r="DP11" s="69" t="s">
        <v>8</v>
      </c>
      <c r="DQ11" s="25" t="s">
        <v>8</v>
      </c>
      <c r="DR11" s="30">
        <f t="shared" si="96"/>
        <v>0.6509159031269246</v>
      </c>
      <c r="DS11" s="28">
        <f t="shared" si="97"/>
        <v>1.920444180148595E-2</v>
      </c>
      <c r="DT11" s="46">
        <f t="shared" si="98"/>
        <v>121519.07874714347</v>
      </c>
      <c r="DU11" s="113">
        <f t="shared" si="99"/>
        <v>0</v>
      </c>
      <c r="DV11" s="69" t="s">
        <v>8</v>
      </c>
      <c r="DW11" s="25" t="s">
        <v>8</v>
      </c>
      <c r="DX11" s="30">
        <f t="shared" si="100"/>
        <v>0.6509159031269246</v>
      </c>
      <c r="DY11" s="28">
        <f t="shared" si="101"/>
        <v>1.920444180148595E-2</v>
      </c>
      <c r="DZ11" s="29">
        <f t="shared" si="102"/>
        <v>121519.07874714347</v>
      </c>
      <c r="EA11" s="73">
        <f t="shared" si="103"/>
        <v>0</v>
      </c>
      <c r="EB11" s="69" t="s">
        <v>8</v>
      </c>
      <c r="EC11" s="25" t="s">
        <v>8</v>
      </c>
      <c r="ED11" s="30">
        <f t="shared" si="104"/>
        <v>0.6509159031269246</v>
      </c>
      <c r="EE11" s="28">
        <f t="shared" si="105"/>
        <v>1.920444180148595E-2</v>
      </c>
      <c r="EF11" s="29">
        <f t="shared" si="106"/>
        <v>121519.07874714347</v>
      </c>
      <c r="EG11" s="73">
        <f t="shared" si="107"/>
        <v>0</v>
      </c>
      <c r="EH11" s="69" t="s">
        <v>8</v>
      </c>
      <c r="EI11" s="25" t="s">
        <v>8</v>
      </c>
      <c r="EJ11" s="30">
        <f t="shared" si="108"/>
        <v>0.6509159031269246</v>
      </c>
      <c r="EK11" s="28">
        <f t="shared" si="109"/>
        <v>1.920444180148595E-2</v>
      </c>
      <c r="EL11" s="29">
        <f t="shared" si="110"/>
        <v>121519.07874714347</v>
      </c>
      <c r="EM11" s="73">
        <f t="shared" si="111"/>
        <v>0</v>
      </c>
      <c r="EN11" s="69" t="s">
        <v>8</v>
      </c>
      <c r="EO11" s="25" t="s">
        <v>8</v>
      </c>
      <c r="EP11" s="30">
        <f t="shared" si="112"/>
        <v>0.6509159031269246</v>
      </c>
      <c r="EQ11" s="28">
        <f t="shared" si="113"/>
        <v>1.920444180148595E-2</v>
      </c>
      <c r="ER11" s="29">
        <f t="shared" si="114"/>
        <v>121519.07874714347</v>
      </c>
      <c r="ES11" s="73">
        <f t="shared" si="115"/>
        <v>0</v>
      </c>
      <c r="ET11" s="69" t="s">
        <v>8</v>
      </c>
      <c r="EU11" s="25" t="s">
        <v>8</v>
      </c>
      <c r="EV11" s="30">
        <f t="shared" si="116"/>
        <v>0.6509159031269246</v>
      </c>
      <c r="EW11" s="28">
        <f t="shared" si="117"/>
        <v>1.920444180148595E-2</v>
      </c>
      <c r="EX11" s="29">
        <f t="shared" si="118"/>
        <v>121519.07874714347</v>
      </c>
      <c r="EY11" s="73">
        <f t="shared" si="119"/>
        <v>0</v>
      </c>
      <c r="EZ11" s="69" t="s">
        <v>8</v>
      </c>
      <c r="FA11" s="25" t="s">
        <v>8</v>
      </c>
      <c r="FB11" s="30">
        <f t="shared" si="120"/>
        <v>0.6509159031269246</v>
      </c>
      <c r="FC11" s="28">
        <f t="shared" si="121"/>
        <v>1.920444180148595E-2</v>
      </c>
      <c r="FD11" s="29">
        <f t="shared" si="122"/>
        <v>121519.07874714347</v>
      </c>
      <c r="FE11" s="73">
        <f t="shared" si="123"/>
        <v>0</v>
      </c>
      <c r="FF11" s="69" t="s">
        <v>8</v>
      </c>
      <c r="FG11" s="25" t="s">
        <v>8</v>
      </c>
      <c r="FH11" s="30">
        <f t="shared" si="124"/>
        <v>0.6509159031269246</v>
      </c>
      <c r="FI11" s="28">
        <f t="shared" si="125"/>
        <v>1.920444180148595E-2</v>
      </c>
      <c r="FJ11" s="29">
        <f t="shared" si="126"/>
        <v>121519.07874714347</v>
      </c>
      <c r="FK11" s="73">
        <f t="shared" si="127"/>
        <v>0</v>
      </c>
      <c r="FL11" s="69" t="s">
        <v>8</v>
      </c>
      <c r="FM11" s="25" t="s">
        <v>8</v>
      </c>
      <c r="FN11" s="30">
        <f t="shared" si="128"/>
        <v>0.6509159031269246</v>
      </c>
      <c r="FO11" s="28">
        <f t="shared" si="129"/>
        <v>1.920444180148595E-2</v>
      </c>
      <c r="FP11" s="29">
        <f t="shared" si="130"/>
        <v>121519.07874714347</v>
      </c>
      <c r="FQ11" s="73">
        <f t="shared" si="131"/>
        <v>0</v>
      </c>
      <c r="FR11" s="69" t="s">
        <v>8</v>
      </c>
      <c r="FS11" s="25" t="s">
        <v>8</v>
      </c>
      <c r="FT11" s="30">
        <f t="shared" si="132"/>
        <v>0.6509159031269246</v>
      </c>
      <c r="FU11" s="28">
        <f t="shared" si="133"/>
        <v>1.920444180148595E-2</v>
      </c>
      <c r="FV11" s="29">
        <f t="shared" si="134"/>
        <v>121519.07874714347</v>
      </c>
      <c r="FW11" s="73">
        <f t="shared" si="135"/>
        <v>0</v>
      </c>
      <c r="FX11" s="69" t="s">
        <v>8</v>
      </c>
      <c r="FY11" s="25" t="s">
        <v>8</v>
      </c>
      <c r="FZ11" s="30">
        <f t="shared" si="136"/>
        <v>0.6509159031269246</v>
      </c>
      <c r="GA11" s="28">
        <f t="shared" si="137"/>
        <v>1.920444180148595E-2</v>
      </c>
      <c r="GB11" s="29">
        <f t="shared" si="138"/>
        <v>121519.07874714347</v>
      </c>
      <c r="GC11" s="73">
        <f t="shared" si="139"/>
        <v>0</v>
      </c>
      <c r="GD11" s="69" t="s">
        <v>8</v>
      </c>
      <c r="GE11" s="25" t="s">
        <v>8</v>
      </c>
      <c r="GF11" s="30">
        <f t="shared" si="140"/>
        <v>0.6509159031269246</v>
      </c>
      <c r="GG11" s="28">
        <f t="shared" si="141"/>
        <v>1.920444180148595E-2</v>
      </c>
      <c r="GH11" s="29">
        <f t="shared" si="142"/>
        <v>121519.07874714347</v>
      </c>
      <c r="GI11" s="113">
        <f t="shared" si="143"/>
        <v>0</v>
      </c>
      <c r="GJ11" s="142">
        <f t="shared" si="146"/>
        <v>1491839.989626559</v>
      </c>
      <c r="GK11" s="238">
        <f t="shared" si="144"/>
        <v>1526739.4826055272</v>
      </c>
      <c r="GL11" s="196">
        <f t="shared" si="145"/>
        <v>0.65091590312692471</v>
      </c>
      <c r="GM11" s="86">
        <v>1526739.48</v>
      </c>
      <c r="GN11" s="244"/>
    </row>
    <row r="12" spans="1:196" s="20" customFormat="1" x14ac:dyDescent="0.25">
      <c r="A12" s="159" t="s">
        <v>175</v>
      </c>
      <c r="B12" s="130" t="s">
        <v>8</v>
      </c>
      <c r="C12" s="130" t="s">
        <v>8</v>
      </c>
      <c r="D12" s="130" t="s">
        <v>8</v>
      </c>
      <c r="E12" s="130" t="s">
        <v>8</v>
      </c>
      <c r="F12" s="130" t="s">
        <v>8</v>
      </c>
      <c r="G12" s="95">
        <f>'Исходные данные'!C14</f>
        <v>436</v>
      </c>
      <c r="H12" s="42">
        <f>'Исходные данные'!F14</f>
        <v>837719</v>
      </c>
      <c r="I12" s="27">
        <f>'Расчет КРП'!G10</f>
        <v>4.2706601759906979</v>
      </c>
      <c r="J12" s="102" t="s">
        <v>8</v>
      </c>
      <c r="K12" s="106">
        <f t="shared" si="22"/>
        <v>0.23780544899873984</v>
      </c>
      <c r="L12" s="70">
        <f t="shared" si="23"/>
        <v>38816.783007219841</v>
      </c>
      <c r="M12" s="66">
        <f t="shared" si="24"/>
        <v>0.24882446911374093</v>
      </c>
      <c r="N12" s="25" t="s">
        <v>8</v>
      </c>
      <c r="O12" s="28">
        <f t="shared" si="25"/>
        <v>2.2563878770285289E-2</v>
      </c>
      <c r="P12" s="29">
        <f t="shared" si="26"/>
        <v>83226.429702669207</v>
      </c>
      <c r="Q12" s="73">
        <f t="shared" si="27"/>
        <v>83226.429702669207</v>
      </c>
      <c r="R12" s="135" t="s">
        <v>8</v>
      </c>
      <c r="S12" s="25" t="s">
        <v>8</v>
      </c>
      <c r="T12" s="30">
        <f t="shared" si="28"/>
        <v>0.27245016995615384</v>
      </c>
      <c r="U12" s="28">
        <f t="shared" si="29"/>
        <v>7.329365515239511E-2</v>
      </c>
      <c r="V12" s="46">
        <f t="shared" si="30"/>
        <v>309364.91186951444</v>
      </c>
      <c r="W12" s="73">
        <f t="shared" si="31"/>
        <v>309364.91186951444</v>
      </c>
      <c r="X12" s="69" t="s">
        <v>8</v>
      </c>
      <c r="Y12" s="25" t="s">
        <v>8</v>
      </c>
      <c r="Z12" s="30">
        <f t="shared" si="32"/>
        <v>0.36027038386032156</v>
      </c>
      <c r="AA12" s="28">
        <f t="shared" si="33"/>
        <v>4.9581130000051543E-2</v>
      </c>
      <c r="AB12" s="46">
        <f t="shared" si="34"/>
        <v>231946.46759301689</v>
      </c>
      <c r="AC12" s="73">
        <f t="shared" si="35"/>
        <v>231946.46759301689</v>
      </c>
      <c r="AD12" s="69" t="s">
        <v>8</v>
      </c>
      <c r="AE12" s="25" t="s">
        <v>8</v>
      </c>
      <c r="AF12" s="30">
        <f t="shared" si="36"/>
        <v>0.42611362469600639</v>
      </c>
      <c r="AG12" s="28">
        <f t="shared" si="37"/>
        <v>4.0600907102611994E-2</v>
      </c>
      <c r="AH12" s="46">
        <f t="shared" si="38"/>
        <v>206543.54145450212</v>
      </c>
      <c r="AI12" s="73">
        <f t="shared" si="39"/>
        <v>206543.54145450212</v>
      </c>
      <c r="AJ12" s="69" t="s">
        <v>8</v>
      </c>
      <c r="AK12" s="25" t="s">
        <v>8</v>
      </c>
      <c r="AL12" s="30">
        <f t="shared" si="40"/>
        <v>0.48474567149615971</v>
      </c>
      <c r="AM12" s="28">
        <f t="shared" si="41"/>
        <v>3.3154918738009853E-2</v>
      </c>
      <c r="AN12" s="46">
        <f t="shared" si="42"/>
        <v>180896.68570518348</v>
      </c>
      <c r="AO12" s="73">
        <f t="shared" si="43"/>
        <v>180896.68570518348</v>
      </c>
      <c r="AP12" s="69" t="s">
        <v>8</v>
      </c>
      <c r="AQ12" s="25" t="s">
        <v>8</v>
      </c>
      <c r="AR12" s="30">
        <f t="shared" si="44"/>
        <v>0.53609727933423568</v>
      </c>
      <c r="AS12" s="28">
        <f t="shared" si="45"/>
        <v>2.7892784492876355E-2</v>
      </c>
      <c r="AT12" s="46">
        <f t="shared" si="46"/>
        <v>161464.78113956211</v>
      </c>
      <c r="AU12" s="73">
        <f t="shared" si="47"/>
        <v>161464.78113956211</v>
      </c>
      <c r="AV12" s="69" t="s">
        <v>8</v>
      </c>
      <c r="AW12" s="25" t="s">
        <v>8</v>
      </c>
      <c r="AX12" s="30">
        <f t="shared" si="48"/>
        <v>0.58193270240137018</v>
      </c>
      <c r="AY12" s="28">
        <f t="shared" si="49"/>
        <v>2.25416509091656E-2</v>
      </c>
      <c r="AZ12" s="46">
        <f t="shared" si="50"/>
        <v>137069.88033851169</v>
      </c>
      <c r="BA12" s="73">
        <f t="shared" si="51"/>
        <v>137069.88033851169</v>
      </c>
      <c r="BB12" s="69" t="s">
        <v>8</v>
      </c>
      <c r="BC12" s="25" t="s">
        <v>8</v>
      </c>
      <c r="BD12" s="30">
        <f t="shared" si="52"/>
        <v>0.62084308218039319</v>
      </c>
      <c r="BE12" s="28">
        <f t="shared" si="53"/>
        <v>2.1561188279331733E-2</v>
      </c>
      <c r="BF12" s="46">
        <f t="shared" si="54"/>
        <v>141572.71790118696</v>
      </c>
      <c r="BG12" s="73">
        <f t="shared" si="55"/>
        <v>105964.68631656512</v>
      </c>
      <c r="BH12" s="69" t="s">
        <v>8</v>
      </c>
      <c r="BI12" s="25" t="s">
        <v>8</v>
      </c>
      <c r="BJ12" s="30">
        <f t="shared" si="56"/>
        <v>0.65092355046095174</v>
      </c>
      <c r="BK12" s="28">
        <f t="shared" si="57"/>
        <v>1.9196794467458811E-2</v>
      </c>
      <c r="BL12" s="46">
        <f t="shared" si="58"/>
        <v>131271.00399665628</v>
      </c>
      <c r="BM12" s="73">
        <f t="shared" si="59"/>
        <v>0</v>
      </c>
      <c r="BN12" s="69" t="s">
        <v>8</v>
      </c>
      <c r="BO12" s="25" t="s">
        <v>8</v>
      </c>
      <c r="BP12" s="30">
        <f t="shared" si="60"/>
        <v>0.65092355046095174</v>
      </c>
      <c r="BQ12" s="28">
        <f t="shared" si="61"/>
        <v>1.9196794467458811E-2</v>
      </c>
      <c r="BR12" s="46">
        <f t="shared" si="62"/>
        <v>131271.00399665628</v>
      </c>
      <c r="BS12" s="113">
        <f t="shared" si="63"/>
        <v>0</v>
      </c>
      <c r="BT12" s="69" t="s">
        <v>8</v>
      </c>
      <c r="BU12" s="25" t="s">
        <v>8</v>
      </c>
      <c r="BV12" s="30">
        <f t="shared" si="64"/>
        <v>0.65092355046095174</v>
      </c>
      <c r="BW12" s="28">
        <f t="shared" si="65"/>
        <v>1.9196794467458811E-2</v>
      </c>
      <c r="BX12" s="46">
        <f t="shared" si="66"/>
        <v>131271.00399665628</v>
      </c>
      <c r="BY12" s="113">
        <f t="shared" si="67"/>
        <v>0</v>
      </c>
      <c r="BZ12" s="69" t="s">
        <v>8</v>
      </c>
      <c r="CA12" s="25" t="s">
        <v>8</v>
      </c>
      <c r="CB12" s="30">
        <f t="shared" si="68"/>
        <v>0.65092355046095174</v>
      </c>
      <c r="CC12" s="28">
        <f t="shared" si="69"/>
        <v>1.9196794467458811E-2</v>
      </c>
      <c r="CD12" s="46">
        <f t="shared" si="70"/>
        <v>131271.00399665628</v>
      </c>
      <c r="CE12" s="113">
        <f t="shared" si="71"/>
        <v>0</v>
      </c>
      <c r="CF12" s="69" t="s">
        <v>8</v>
      </c>
      <c r="CG12" s="25" t="s">
        <v>8</v>
      </c>
      <c r="CH12" s="30">
        <f t="shared" si="72"/>
        <v>0.65092355046095174</v>
      </c>
      <c r="CI12" s="28">
        <f t="shared" si="73"/>
        <v>1.9196794467458811E-2</v>
      </c>
      <c r="CJ12" s="46">
        <f t="shared" si="74"/>
        <v>131271.00399665628</v>
      </c>
      <c r="CK12" s="113">
        <f t="shared" si="75"/>
        <v>0</v>
      </c>
      <c r="CL12" s="69" t="s">
        <v>8</v>
      </c>
      <c r="CM12" s="25" t="s">
        <v>8</v>
      </c>
      <c r="CN12" s="30">
        <f t="shared" si="76"/>
        <v>0.65092355046095174</v>
      </c>
      <c r="CO12" s="28">
        <f t="shared" si="77"/>
        <v>1.9196794467458811E-2</v>
      </c>
      <c r="CP12" s="46">
        <f t="shared" si="78"/>
        <v>131271.00399665628</v>
      </c>
      <c r="CQ12" s="113">
        <f t="shared" si="79"/>
        <v>0</v>
      </c>
      <c r="CR12" s="69" t="s">
        <v>8</v>
      </c>
      <c r="CS12" s="25" t="s">
        <v>8</v>
      </c>
      <c r="CT12" s="30">
        <f t="shared" si="80"/>
        <v>0.65092355046095174</v>
      </c>
      <c r="CU12" s="28">
        <f t="shared" si="81"/>
        <v>1.9196794467458811E-2</v>
      </c>
      <c r="CV12" s="46">
        <f t="shared" si="82"/>
        <v>131271.00399665628</v>
      </c>
      <c r="CW12" s="113">
        <f t="shared" si="83"/>
        <v>0</v>
      </c>
      <c r="CX12" s="69" t="s">
        <v>8</v>
      </c>
      <c r="CY12" s="25" t="s">
        <v>8</v>
      </c>
      <c r="CZ12" s="30">
        <f t="shared" si="84"/>
        <v>0.65092355046095174</v>
      </c>
      <c r="DA12" s="28">
        <f t="shared" si="85"/>
        <v>1.9196794467458811E-2</v>
      </c>
      <c r="DB12" s="46">
        <f t="shared" si="86"/>
        <v>131271.00399665628</v>
      </c>
      <c r="DC12" s="113">
        <f t="shared" si="87"/>
        <v>0</v>
      </c>
      <c r="DD12" s="69" t="s">
        <v>8</v>
      </c>
      <c r="DE12" s="25" t="s">
        <v>8</v>
      </c>
      <c r="DF12" s="30">
        <f t="shared" si="88"/>
        <v>0.65092355046095174</v>
      </c>
      <c r="DG12" s="28">
        <f t="shared" si="89"/>
        <v>1.9196794467458811E-2</v>
      </c>
      <c r="DH12" s="46">
        <f t="shared" si="90"/>
        <v>131271.00399665628</v>
      </c>
      <c r="DI12" s="113">
        <f t="shared" si="91"/>
        <v>0</v>
      </c>
      <c r="DJ12" s="69" t="s">
        <v>8</v>
      </c>
      <c r="DK12" s="25" t="s">
        <v>8</v>
      </c>
      <c r="DL12" s="30">
        <f t="shared" si="92"/>
        <v>0.65092355046095174</v>
      </c>
      <c r="DM12" s="28">
        <f t="shared" si="93"/>
        <v>1.9196794467458811E-2</v>
      </c>
      <c r="DN12" s="46">
        <f t="shared" si="94"/>
        <v>131271.00399665628</v>
      </c>
      <c r="DO12" s="113">
        <f t="shared" si="95"/>
        <v>0</v>
      </c>
      <c r="DP12" s="69" t="s">
        <v>8</v>
      </c>
      <c r="DQ12" s="25" t="s">
        <v>8</v>
      </c>
      <c r="DR12" s="30">
        <f t="shared" si="96"/>
        <v>0.65092355046095174</v>
      </c>
      <c r="DS12" s="28">
        <f t="shared" si="97"/>
        <v>1.9196794467458811E-2</v>
      </c>
      <c r="DT12" s="46">
        <f t="shared" si="98"/>
        <v>131271.00399665628</v>
      </c>
      <c r="DU12" s="113">
        <f t="shared" si="99"/>
        <v>0</v>
      </c>
      <c r="DV12" s="69" t="s">
        <v>8</v>
      </c>
      <c r="DW12" s="25" t="s">
        <v>8</v>
      </c>
      <c r="DX12" s="30">
        <f t="shared" si="100"/>
        <v>0.65092355046095174</v>
      </c>
      <c r="DY12" s="28">
        <f t="shared" si="101"/>
        <v>1.9196794467458811E-2</v>
      </c>
      <c r="DZ12" s="29">
        <f t="shared" si="102"/>
        <v>131271.00399665628</v>
      </c>
      <c r="EA12" s="73">
        <f t="shared" si="103"/>
        <v>0</v>
      </c>
      <c r="EB12" s="69" t="s">
        <v>8</v>
      </c>
      <c r="EC12" s="25" t="s">
        <v>8</v>
      </c>
      <c r="ED12" s="30">
        <f t="shared" si="104"/>
        <v>0.65092355046095174</v>
      </c>
      <c r="EE12" s="28">
        <f t="shared" si="105"/>
        <v>1.9196794467458811E-2</v>
      </c>
      <c r="EF12" s="29">
        <f t="shared" si="106"/>
        <v>131271.00399665628</v>
      </c>
      <c r="EG12" s="73">
        <f t="shared" si="107"/>
        <v>0</v>
      </c>
      <c r="EH12" s="69" t="s">
        <v>8</v>
      </c>
      <c r="EI12" s="25" t="s">
        <v>8</v>
      </c>
      <c r="EJ12" s="30">
        <f t="shared" si="108"/>
        <v>0.65092355046095174</v>
      </c>
      <c r="EK12" s="28">
        <f t="shared" si="109"/>
        <v>1.9196794467458811E-2</v>
      </c>
      <c r="EL12" s="29">
        <f t="shared" si="110"/>
        <v>131271.00399665628</v>
      </c>
      <c r="EM12" s="73">
        <f t="shared" si="111"/>
        <v>0</v>
      </c>
      <c r="EN12" s="69" t="s">
        <v>8</v>
      </c>
      <c r="EO12" s="25" t="s">
        <v>8</v>
      </c>
      <c r="EP12" s="30">
        <f t="shared" si="112"/>
        <v>0.65092355046095174</v>
      </c>
      <c r="EQ12" s="28">
        <f t="shared" si="113"/>
        <v>1.9196794467458811E-2</v>
      </c>
      <c r="ER12" s="29">
        <f t="shared" si="114"/>
        <v>131271.00399665628</v>
      </c>
      <c r="ES12" s="73">
        <f t="shared" si="115"/>
        <v>0</v>
      </c>
      <c r="ET12" s="69" t="s">
        <v>8</v>
      </c>
      <c r="EU12" s="25" t="s">
        <v>8</v>
      </c>
      <c r="EV12" s="30">
        <f t="shared" si="116"/>
        <v>0.65092355046095174</v>
      </c>
      <c r="EW12" s="28">
        <f t="shared" si="117"/>
        <v>1.9196794467458811E-2</v>
      </c>
      <c r="EX12" s="29">
        <f t="shared" si="118"/>
        <v>131271.00399665628</v>
      </c>
      <c r="EY12" s="73">
        <f t="shared" si="119"/>
        <v>0</v>
      </c>
      <c r="EZ12" s="69" t="s">
        <v>8</v>
      </c>
      <c r="FA12" s="25" t="s">
        <v>8</v>
      </c>
      <c r="FB12" s="30">
        <f t="shared" si="120"/>
        <v>0.65092355046095174</v>
      </c>
      <c r="FC12" s="28">
        <f t="shared" si="121"/>
        <v>1.9196794467458811E-2</v>
      </c>
      <c r="FD12" s="29">
        <f t="shared" si="122"/>
        <v>131271.00399665628</v>
      </c>
      <c r="FE12" s="73">
        <f t="shared" si="123"/>
        <v>0</v>
      </c>
      <c r="FF12" s="69" t="s">
        <v>8</v>
      </c>
      <c r="FG12" s="25" t="s">
        <v>8</v>
      </c>
      <c r="FH12" s="30">
        <f t="shared" si="124"/>
        <v>0.65092355046095174</v>
      </c>
      <c r="FI12" s="28">
        <f t="shared" si="125"/>
        <v>1.9196794467458811E-2</v>
      </c>
      <c r="FJ12" s="29">
        <f t="shared" si="126"/>
        <v>131271.00399665628</v>
      </c>
      <c r="FK12" s="73">
        <f t="shared" si="127"/>
        <v>0</v>
      </c>
      <c r="FL12" s="69" t="s">
        <v>8</v>
      </c>
      <c r="FM12" s="25" t="s">
        <v>8</v>
      </c>
      <c r="FN12" s="30">
        <f t="shared" si="128"/>
        <v>0.65092355046095174</v>
      </c>
      <c r="FO12" s="28">
        <f t="shared" si="129"/>
        <v>1.9196794467458811E-2</v>
      </c>
      <c r="FP12" s="29">
        <f t="shared" si="130"/>
        <v>131271.00399665628</v>
      </c>
      <c r="FQ12" s="73">
        <f t="shared" si="131"/>
        <v>0</v>
      </c>
      <c r="FR12" s="69" t="s">
        <v>8</v>
      </c>
      <c r="FS12" s="25" t="s">
        <v>8</v>
      </c>
      <c r="FT12" s="30">
        <f t="shared" si="132"/>
        <v>0.65092355046095174</v>
      </c>
      <c r="FU12" s="28">
        <f t="shared" si="133"/>
        <v>1.9196794467458811E-2</v>
      </c>
      <c r="FV12" s="29">
        <f t="shared" si="134"/>
        <v>131271.00399665628</v>
      </c>
      <c r="FW12" s="73">
        <f t="shared" si="135"/>
        <v>0</v>
      </c>
      <c r="FX12" s="69" t="s">
        <v>8</v>
      </c>
      <c r="FY12" s="25" t="s">
        <v>8</v>
      </c>
      <c r="FZ12" s="30">
        <f t="shared" si="136"/>
        <v>0.65092355046095174</v>
      </c>
      <c r="GA12" s="28">
        <f t="shared" si="137"/>
        <v>1.9196794467458811E-2</v>
      </c>
      <c r="GB12" s="29">
        <f t="shared" si="138"/>
        <v>131271.00399665628</v>
      </c>
      <c r="GC12" s="73">
        <f t="shared" si="139"/>
        <v>0</v>
      </c>
      <c r="GD12" s="69" t="s">
        <v>8</v>
      </c>
      <c r="GE12" s="25" t="s">
        <v>8</v>
      </c>
      <c r="GF12" s="30">
        <f t="shared" si="140"/>
        <v>0.65092355046095174</v>
      </c>
      <c r="GG12" s="28">
        <f t="shared" si="141"/>
        <v>1.9196794467458811E-2</v>
      </c>
      <c r="GH12" s="29">
        <f t="shared" si="142"/>
        <v>131271.00399665628</v>
      </c>
      <c r="GI12" s="113">
        <f t="shared" si="143"/>
        <v>0</v>
      </c>
      <c r="GJ12" s="142">
        <f t="shared" si="146"/>
        <v>1416477.3841195251</v>
      </c>
      <c r="GK12" s="238">
        <f t="shared" si="144"/>
        <v>1455294.167126745</v>
      </c>
      <c r="GL12" s="196">
        <f t="shared" si="145"/>
        <v>0.65092355046095185</v>
      </c>
      <c r="GM12" s="86">
        <v>1455294.17</v>
      </c>
      <c r="GN12" s="244"/>
    </row>
    <row r="13" spans="1:196" s="20" customFormat="1" ht="15.75" customHeight="1" x14ac:dyDescent="0.25">
      <c r="A13" s="159" t="s">
        <v>176</v>
      </c>
      <c r="B13" s="130" t="s">
        <v>8</v>
      </c>
      <c r="C13" s="130" t="s">
        <v>8</v>
      </c>
      <c r="D13" s="130" t="s">
        <v>8</v>
      </c>
      <c r="E13" s="130" t="s">
        <v>8</v>
      </c>
      <c r="F13" s="130" t="s">
        <v>8</v>
      </c>
      <c r="G13" s="95">
        <f>'Исходные данные'!C15</f>
        <v>656</v>
      </c>
      <c r="H13" s="42">
        <f>'Исходные данные'!F15</f>
        <v>1504037</v>
      </c>
      <c r="I13" s="27">
        <f>'Расчет КРП'!G11</f>
        <v>3.7877302207186476</v>
      </c>
      <c r="J13" s="102" t="s">
        <v>8</v>
      </c>
      <c r="K13" s="106">
        <f t="shared" si="22"/>
        <v>0.31994887126753641</v>
      </c>
      <c r="L13" s="70">
        <f t="shared" si="23"/>
        <v>58403.23314847755</v>
      </c>
      <c r="M13" s="66">
        <f t="shared" si="24"/>
        <v>0.33237280001678265</v>
      </c>
      <c r="N13" s="25" t="s">
        <v>8</v>
      </c>
      <c r="O13" s="28">
        <f t="shared" si="25"/>
        <v>-6.0984452132756439E-2</v>
      </c>
      <c r="P13" s="29">
        <f t="shared" si="26"/>
        <v>0</v>
      </c>
      <c r="Q13" s="73">
        <f t="shared" si="27"/>
        <v>0</v>
      </c>
      <c r="R13" s="135" t="s">
        <v>8</v>
      </c>
      <c r="S13" s="25" t="s">
        <v>8</v>
      </c>
      <c r="T13" s="30">
        <f t="shared" si="28"/>
        <v>0.33237280001678265</v>
      </c>
      <c r="U13" s="28">
        <f t="shared" si="29"/>
        <v>1.3371025091766298E-2</v>
      </c>
      <c r="V13" s="46">
        <f t="shared" si="30"/>
        <v>75313.139462273073</v>
      </c>
      <c r="W13" s="73">
        <f t="shared" si="31"/>
        <v>75313.139462273073</v>
      </c>
      <c r="X13" s="69" t="s">
        <v>8</v>
      </c>
      <c r="Y13" s="25" t="s">
        <v>8</v>
      </c>
      <c r="Z13" s="30">
        <f t="shared" si="32"/>
        <v>0.34839391782343826</v>
      </c>
      <c r="AA13" s="28">
        <f t="shared" si="33"/>
        <v>6.1457596036934847E-2</v>
      </c>
      <c r="AB13" s="46">
        <f t="shared" si="34"/>
        <v>383661.5567997935</v>
      </c>
      <c r="AC13" s="73">
        <f t="shared" si="35"/>
        <v>383661.5567997935</v>
      </c>
      <c r="AD13" s="69" t="s">
        <v>8</v>
      </c>
      <c r="AE13" s="25" t="s">
        <v>8</v>
      </c>
      <c r="AF13" s="30">
        <f t="shared" si="36"/>
        <v>0.43000898583495639</v>
      </c>
      <c r="AG13" s="28">
        <f t="shared" si="37"/>
        <v>3.670554596366199E-2</v>
      </c>
      <c r="AH13" s="46">
        <f t="shared" si="38"/>
        <v>249177.56914103741</v>
      </c>
      <c r="AI13" s="73">
        <f t="shared" si="39"/>
        <v>249177.56914103741</v>
      </c>
      <c r="AJ13" s="69" t="s">
        <v>8</v>
      </c>
      <c r="AK13" s="25" t="s">
        <v>8</v>
      </c>
      <c r="AL13" s="30">
        <f t="shared" si="40"/>
        <v>0.48301571505229846</v>
      </c>
      <c r="AM13" s="28">
        <f t="shared" si="41"/>
        <v>3.4884875181871111E-2</v>
      </c>
      <c r="AN13" s="46">
        <f t="shared" si="42"/>
        <v>253992.67355277753</v>
      </c>
      <c r="AO13" s="73">
        <f t="shared" si="43"/>
        <v>253992.67355277753</v>
      </c>
      <c r="AP13" s="69" t="s">
        <v>8</v>
      </c>
      <c r="AQ13" s="25" t="s">
        <v>8</v>
      </c>
      <c r="AR13" s="30">
        <f t="shared" si="44"/>
        <v>0.53704674568082356</v>
      </c>
      <c r="AS13" s="28">
        <f t="shared" si="45"/>
        <v>2.6943318146288475E-2</v>
      </c>
      <c r="AT13" s="46">
        <f t="shared" si="46"/>
        <v>208131.77598335926</v>
      </c>
      <c r="AU13" s="73">
        <f t="shared" si="47"/>
        <v>208131.77598335926</v>
      </c>
      <c r="AV13" s="69" t="s">
        <v>8</v>
      </c>
      <c r="AW13" s="25" t="s">
        <v>8</v>
      </c>
      <c r="AX13" s="30">
        <f t="shared" si="48"/>
        <v>0.58132193758154371</v>
      </c>
      <c r="AY13" s="28">
        <f t="shared" si="49"/>
        <v>2.3152415728992071E-2</v>
      </c>
      <c r="AZ13" s="46">
        <f t="shared" si="50"/>
        <v>187868.51384564905</v>
      </c>
      <c r="BA13" s="73">
        <f t="shared" si="51"/>
        <v>187868.51384564905</v>
      </c>
      <c r="BB13" s="69" t="s">
        <v>8</v>
      </c>
      <c r="BC13" s="25" t="s">
        <v>8</v>
      </c>
      <c r="BD13" s="30">
        <f t="shared" si="52"/>
        <v>0.62128659200934377</v>
      </c>
      <c r="BE13" s="28">
        <f t="shared" si="53"/>
        <v>2.111767845038115E-2</v>
      </c>
      <c r="BF13" s="46">
        <f t="shared" si="54"/>
        <v>185035.23004212836</v>
      </c>
      <c r="BG13" s="73">
        <f t="shared" si="55"/>
        <v>138495.61129858909</v>
      </c>
      <c r="BH13" s="69" t="s">
        <v>8</v>
      </c>
      <c r="BI13" s="25" t="s">
        <v>8</v>
      </c>
      <c r="BJ13" s="30">
        <f t="shared" si="56"/>
        <v>0.65074831037830072</v>
      </c>
      <c r="BK13" s="28">
        <f t="shared" si="57"/>
        <v>1.9372034550109829E-2</v>
      </c>
      <c r="BL13" s="46">
        <f t="shared" si="58"/>
        <v>176773.31270506463</v>
      </c>
      <c r="BM13" s="73">
        <f t="shared" si="59"/>
        <v>0</v>
      </c>
      <c r="BN13" s="69" t="s">
        <v>8</v>
      </c>
      <c r="BO13" s="25" t="s">
        <v>8</v>
      </c>
      <c r="BP13" s="30">
        <f t="shared" si="60"/>
        <v>0.65074831037830072</v>
      </c>
      <c r="BQ13" s="28">
        <f t="shared" si="61"/>
        <v>1.9372034550109829E-2</v>
      </c>
      <c r="BR13" s="46">
        <f t="shared" si="62"/>
        <v>176773.31270506463</v>
      </c>
      <c r="BS13" s="113">
        <f t="shared" si="63"/>
        <v>0</v>
      </c>
      <c r="BT13" s="69" t="s">
        <v>8</v>
      </c>
      <c r="BU13" s="25" t="s">
        <v>8</v>
      </c>
      <c r="BV13" s="30">
        <f t="shared" si="64"/>
        <v>0.65074831037830072</v>
      </c>
      <c r="BW13" s="28">
        <f t="shared" si="65"/>
        <v>1.9372034550109829E-2</v>
      </c>
      <c r="BX13" s="46">
        <f t="shared" si="66"/>
        <v>176773.31270506463</v>
      </c>
      <c r="BY13" s="113">
        <f t="shared" si="67"/>
        <v>0</v>
      </c>
      <c r="BZ13" s="69" t="s">
        <v>8</v>
      </c>
      <c r="CA13" s="25" t="s">
        <v>8</v>
      </c>
      <c r="CB13" s="30">
        <f t="shared" si="68"/>
        <v>0.65074831037830072</v>
      </c>
      <c r="CC13" s="28">
        <f t="shared" si="69"/>
        <v>1.9372034550109829E-2</v>
      </c>
      <c r="CD13" s="46">
        <f t="shared" si="70"/>
        <v>176773.31270506463</v>
      </c>
      <c r="CE13" s="113">
        <f t="shared" si="71"/>
        <v>0</v>
      </c>
      <c r="CF13" s="69" t="s">
        <v>8</v>
      </c>
      <c r="CG13" s="25" t="s">
        <v>8</v>
      </c>
      <c r="CH13" s="30">
        <f t="shared" si="72"/>
        <v>0.65074831037830072</v>
      </c>
      <c r="CI13" s="28">
        <f t="shared" si="73"/>
        <v>1.9372034550109829E-2</v>
      </c>
      <c r="CJ13" s="46">
        <f t="shared" si="74"/>
        <v>176773.31270506463</v>
      </c>
      <c r="CK13" s="113">
        <f t="shared" si="75"/>
        <v>0</v>
      </c>
      <c r="CL13" s="69" t="s">
        <v>8</v>
      </c>
      <c r="CM13" s="25" t="s">
        <v>8</v>
      </c>
      <c r="CN13" s="30">
        <f t="shared" si="76"/>
        <v>0.65074831037830072</v>
      </c>
      <c r="CO13" s="28">
        <f t="shared" si="77"/>
        <v>1.9372034550109829E-2</v>
      </c>
      <c r="CP13" s="46">
        <f t="shared" si="78"/>
        <v>176773.31270506463</v>
      </c>
      <c r="CQ13" s="113">
        <f t="shared" si="79"/>
        <v>0</v>
      </c>
      <c r="CR13" s="69" t="s">
        <v>8</v>
      </c>
      <c r="CS13" s="25" t="s">
        <v>8</v>
      </c>
      <c r="CT13" s="30">
        <f t="shared" si="80"/>
        <v>0.65074831037830072</v>
      </c>
      <c r="CU13" s="28">
        <f t="shared" si="81"/>
        <v>1.9372034550109829E-2</v>
      </c>
      <c r="CV13" s="46">
        <f t="shared" si="82"/>
        <v>176773.31270506463</v>
      </c>
      <c r="CW13" s="113">
        <f t="shared" si="83"/>
        <v>0</v>
      </c>
      <c r="CX13" s="69" t="s">
        <v>8</v>
      </c>
      <c r="CY13" s="25" t="s">
        <v>8</v>
      </c>
      <c r="CZ13" s="30">
        <f t="shared" si="84"/>
        <v>0.65074831037830072</v>
      </c>
      <c r="DA13" s="28">
        <f t="shared" si="85"/>
        <v>1.9372034550109829E-2</v>
      </c>
      <c r="DB13" s="46">
        <f t="shared" si="86"/>
        <v>176773.31270506463</v>
      </c>
      <c r="DC13" s="113">
        <f t="shared" si="87"/>
        <v>0</v>
      </c>
      <c r="DD13" s="69" t="s">
        <v>8</v>
      </c>
      <c r="DE13" s="25" t="s">
        <v>8</v>
      </c>
      <c r="DF13" s="30">
        <f t="shared" si="88"/>
        <v>0.65074831037830072</v>
      </c>
      <c r="DG13" s="28">
        <f t="shared" si="89"/>
        <v>1.9372034550109829E-2</v>
      </c>
      <c r="DH13" s="46">
        <f t="shared" si="90"/>
        <v>176773.31270506463</v>
      </c>
      <c r="DI13" s="113">
        <f t="shared" si="91"/>
        <v>0</v>
      </c>
      <c r="DJ13" s="69" t="s">
        <v>8</v>
      </c>
      <c r="DK13" s="25" t="s">
        <v>8</v>
      </c>
      <c r="DL13" s="30">
        <f t="shared" si="92"/>
        <v>0.65074831037830072</v>
      </c>
      <c r="DM13" s="28">
        <f t="shared" si="93"/>
        <v>1.9372034550109829E-2</v>
      </c>
      <c r="DN13" s="46">
        <f t="shared" si="94"/>
        <v>176773.31270506463</v>
      </c>
      <c r="DO13" s="113">
        <f t="shared" si="95"/>
        <v>0</v>
      </c>
      <c r="DP13" s="69" t="s">
        <v>8</v>
      </c>
      <c r="DQ13" s="25" t="s">
        <v>8</v>
      </c>
      <c r="DR13" s="30">
        <f t="shared" si="96"/>
        <v>0.65074831037830072</v>
      </c>
      <c r="DS13" s="28">
        <f t="shared" si="97"/>
        <v>1.9372034550109829E-2</v>
      </c>
      <c r="DT13" s="46">
        <f t="shared" si="98"/>
        <v>176773.31270506463</v>
      </c>
      <c r="DU13" s="113">
        <f t="shared" si="99"/>
        <v>0</v>
      </c>
      <c r="DV13" s="69" t="s">
        <v>8</v>
      </c>
      <c r="DW13" s="25" t="s">
        <v>8</v>
      </c>
      <c r="DX13" s="30">
        <f t="shared" si="100"/>
        <v>0.65074831037830072</v>
      </c>
      <c r="DY13" s="28">
        <f t="shared" si="101"/>
        <v>1.9372034550109829E-2</v>
      </c>
      <c r="DZ13" s="29">
        <f t="shared" si="102"/>
        <v>176773.31270506463</v>
      </c>
      <c r="EA13" s="73">
        <f t="shared" si="103"/>
        <v>0</v>
      </c>
      <c r="EB13" s="69" t="s">
        <v>8</v>
      </c>
      <c r="EC13" s="25" t="s">
        <v>8</v>
      </c>
      <c r="ED13" s="30">
        <f t="shared" si="104"/>
        <v>0.65074831037830072</v>
      </c>
      <c r="EE13" s="28">
        <f t="shared" si="105"/>
        <v>1.9372034550109829E-2</v>
      </c>
      <c r="EF13" s="29">
        <f t="shared" si="106"/>
        <v>176773.31270506463</v>
      </c>
      <c r="EG13" s="73">
        <f t="shared" si="107"/>
        <v>0</v>
      </c>
      <c r="EH13" s="69" t="s">
        <v>8</v>
      </c>
      <c r="EI13" s="25" t="s">
        <v>8</v>
      </c>
      <c r="EJ13" s="30">
        <f t="shared" si="108"/>
        <v>0.65074831037830072</v>
      </c>
      <c r="EK13" s="28">
        <f t="shared" si="109"/>
        <v>1.9372034550109829E-2</v>
      </c>
      <c r="EL13" s="29">
        <f t="shared" si="110"/>
        <v>176773.31270506463</v>
      </c>
      <c r="EM13" s="73">
        <f t="shared" si="111"/>
        <v>0</v>
      </c>
      <c r="EN13" s="69" t="s">
        <v>8</v>
      </c>
      <c r="EO13" s="25" t="s">
        <v>8</v>
      </c>
      <c r="EP13" s="30">
        <f t="shared" si="112"/>
        <v>0.65074831037830072</v>
      </c>
      <c r="EQ13" s="28">
        <f t="shared" si="113"/>
        <v>1.9372034550109829E-2</v>
      </c>
      <c r="ER13" s="29">
        <f t="shared" si="114"/>
        <v>176773.31270506463</v>
      </c>
      <c r="ES13" s="73">
        <f t="shared" si="115"/>
        <v>0</v>
      </c>
      <c r="ET13" s="69" t="s">
        <v>8</v>
      </c>
      <c r="EU13" s="25" t="s">
        <v>8</v>
      </c>
      <c r="EV13" s="30">
        <f t="shared" si="116"/>
        <v>0.65074831037830072</v>
      </c>
      <c r="EW13" s="28">
        <f t="shared" si="117"/>
        <v>1.9372034550109829E-2</v>
      </c>
      <c r="EX13" s="29">
        <f t="shared" si="118"/>
        <v>176773.31270506463</v>
      </c>
      <c r="EY13" s="73">
        <f t="shared" si="119"/>
        <v>0</v>
      </c>
      <c r="EZ13" s="69" t="s">
        <v>8</v>
      </c>
      <c r="FA13" s="25" t="s">
        <v>8</v>
      </c>
      <c r="FB13" s="30">
        <f t="shared" si="120"/>
        <v>0.65074831037830072</v>
      </c>
      <c r="FC13" s="28">
        <f t="shared" si="121"/>
        <v>1.9372034550109829E-2</v>
      </c>
      <c r="FD13" s="29">
        <f t="shared" si="122"/>
        <v>176773.31270506463</v>
      </c>
      <c r="FE13" s="73">
        <f t="shared" si="123"/>
        <v>0</v>
      </c>
      <c r="FF13" s="69" t="s">
        <v>8</v>
      </c>
      <c r="FG13" s="25" t="s">
        <v>8</v>
      </c>
      <c r="FH13" s="30">
        <f t="shared" si="124"/>
        <v>0.65074831037830072</v>
      </c>
      <c r="FI13" s="28">
        <f t="shared" si="125"/>
        <v>1.9372034550109829E-2</v>
      </c>
      <c r="FJ13" s="29">
        <f t="shared" si="126"/>
        <v>176773.31270506463</v>
      </c>
      <c r="FK13" s="73">
        <f t="shared" si="127"/>
        <v>0</v>
      </c>
      <c r="FL13" s="69" t="s">
        <v>8</v>
      </c>
      <c r="FM13" s="25" t="s">
        <v>8</v>
      </c>
      <c r="FN13" s="30">
        <f t="shared" si="128"/>
        <v>0.65074831037830072</v>
      </c>
      <c r="FO13" s="28">
        <f t="shared" si="129"/>
        <v>1.9372034550109829E-2</v>
      </c>
      <c r="FP13" s="29">
        <f t="shared" si="130"/>
        <v>176773.31270506463</v>
      </c>
      <c r="FQ13" s="73">
        <f t="shared" si="131"/>
        <v>0</v>
      </c>
      <c r="FR13" s="69" t="s">
        <v>8</v>
      </c>
      <c r="FS13" s="25" t="s">
        <v>8</v>
      </c>
      <c r="FT13" s="30">
        <f t="shared" si="132"/>
        <v>0.65074831037830072</v>
      </c>
      <c r="FU13" s="28">
        <f t="shared" si="133"/>
        <v>1.9372034550109829E-2</v>
      </c>
      <c r="FV13" s="29">
        <f t="shared" si="134"/>
        <v>176773.31270506463</v>
      </c>
      <c r="FW13" s="73">
        <f t="shared" si="135"/>
        <v>0</v>
      </c>
      <c r="FX13" s="69" t="s">
        <v>8</v>
      </c>
      <c r="FY13" s="25" t="s">
        <v>8</v>
      </c>
      <c r="FZ13" s="30">
        <f t="shared" si="136"/>
        <v>0.65074831037830072</v>
      </c>
      <c r="GA13" s="28">
        <f t="shared" si="137"/>
        <v>1.9372034550109829E-2</v>
      </c>
      <c r="GB13" s="29">
        <f t="shared" si="138"/>
        <v>176773.31270506463</v>
      </c>
      <c r="GC13" s="73">
        <f t="shared" si="139"/>
        <v>0</v>
      </c>
      <c r="GD13" s="69" t="s">
        <v>8</v>
      </c>
      <c r="GE13" s="25" t="s">
        <v>8</v>
      </c>
      <c r="GF13" s="30">
        <f t="shared" si="140"/>
        <v>0.65074831037830072</v>
      </c>
      <c r="GG13" s="28">
        <f t="shared" si="141"/>
        <v>1.9372034550109829E-2</v>
      </c>
      <c r="GH13" s="29">
        <f t="shared" si="142"/>
        <v>176773.31270506463</v>
      </c>
      <c r="GI13" s="113">
        <f t="shared" si="143"/>
        <v>0</v>
      </c>
      <c r="GJ13" s="142">
        <f t="shared" si="146"/>
        <v>1496640.8400834789</v>
      </c>
      <c r="GK13" s="238">
        <f t="shared" si="144"/>
        <v>1555044.0732319565</v>
      </c>
      <c r="GL13" s="196">
        <f t="shared" si="145"/>
        <v>0.65074831037830072</v>
      </c>
      <c r="GM13" s="86">
        <v>1555044.07</v>
      </c>
      <c r="GN13" s="244"/>
    </row>
    <row r="14" spans="1:196" s="20" customFormat="1" ht="31.5" x14ac:dyDescent="0.25">
      <c r="A14" s="160" t="s">
        <v>177</v>
      </c>
      <c r="B14" s="130" t="s">
        <v>8</v>
      </c>
      <c r="C14" s="130" t="s">
        <v>8</v>
      </c>
      <c r="D14" s="130" t="s">
        <v>8</v>
      </c>
      <c r="E14" s="130" t="s">
        <v>8</v>
      </c>
      <c r="F14" s="130" t="s">
        <v>8</v>
      </c>
      <c r="G14" s="95">
        <f>'Исходные данные'!C16</f>
        <v>449</v>
      </c>
      <c r="H14" s="42">
        <f>'Исходные данные'!F16</f>
        <v>330760</v>
      </c>
      <c r="I14" s="27">
        <f>'Расчет КРП'!G12</f>
        <v>4.413597068878552</v>
      </c>
      <c r="J14" s="102" t="s">
        <v>8</v>
      </c>
      <c r="K14" s="106">
        <f t="shared" si="22"/>
        <v>8.8222406526108466E-2</v>
      </c>
      <c r="L14" s="70">
        <f t="shared" si="23"/>
        <v>39974.164151930519</v>
      </c>
      <c r="M14" s="66">
        <f t="shared" si="24"/>
        <v>9.8884569303811343E-2</v>
      </c>
      <c r="N14" s="25" t="s">
        <v>8</v>
      </c>
      <c r="O14" s="28">
        <f t="shared" si="25"/>
        <v>0.17250377858021487</v>
      </c>
      <c r="P14" s="29">
        <f t="shared" si="26"/>
        <v>677179.24394340313</v>
      </c>
      <c r="Q14" s="73">
        <f t="shared" si="27"/>
        <v>677179.24394340313</v>
      </c>
      <c r="R14" s="135" t="s">
        <v>8</v>
      </c>
      <c r="S14" s="25" t="s">
        <v>8</v>
      </c>
      <c r="T14" s="30">
        <f t="shared" si="28"/>
        <v>0.27950611528947372</v>
      </c>
      <c r="U14" s="28">
        <f t="shared" si="29"/>
        <v>6.623770981907523E-2</v>
      </c>
      <c r="V14" s="46">
        <f t="shared" si="30"/>
        <v>297555.17055635946</v>
      </c>
      <c r="W14" s="73">
        <f t="shared" si="31"/>
        <v>297555.17055635946</v>
      </c>
      <c r="X14" s="69" t="s">
        <v>8</v>
      </c>
      <c r="Y14" s="25" t="s">
        <v>8</v>
      </c>
      <c r="Z14" s="30">
        <f t="shared" si="32"/>
        <v>0.35887191895608594</v>
      </c>
      <c r="AA14" s="28">
        <f t="shared" si="33"/>
        <v>5.0979594904287162E-2</v>
      </c>
      <c r="AB14" s="46">
        <f t="shared" si="34"/>
        <v>253819.65035900398</v>
      </c>
      <c r="AC14" s="73">
        <f t="shared" si="35"/>
        <v>253819.65035900398</v>
      </c>
      <c r="AD14" s="69" t="s">
        <v>8</v>
      </c>
      <c r="AE14" s="25" t="s">
        <v>8</v>
      </c>
      <c r="AF14" s="30">
        <f t="shared" si="36"/>
        <v>0.42657230708731941</v>
      </c>
      <c r="AG14" s="28">
        <f t="shared" si="37"/>
        <v>4.0142224711298968E-2</v>
      </c>
      <c r="AH14" s="46">
        <f t="shared" si="38"/>
        <v>217337.58621210832</v>
      </c>
      <c r="AI14" s="73">
        <f t="shared" si="39"/>
        <v>217337.58621210832</v>
      </c>
      <c r="AJ14" s="69" t="s">
        <v>8</v>
      </c>
      <c r="AK14" s="25" t="s">
        <v>8</v>
      </c>
      <c r="AL14" s="30">
        <f t="shared" si="40"/>
        <v>0.48454196751847123</v>
      </c>
      <c r="AM14" s="28">
        <f t="shared" si="41"/>
        <v>3.3358622715698338E-2</v>
      </c>
      <c r="AN14" s="46">
        <f t="shared" si="42"/>
        <v>193708.31920177609</v>
      </c>
      <c r="AO14" s="73">
        <f t="shared" si="43"/>
        <v>193708.31920177609</v>
      </c>
      <c r="AP14" s="69" t="s">
        <v>8</v>
      </c>
      <c r="AQ14" s="25" t="s">
        <v>8</v>
      </c>
      <c r="AR14" s="30">
        <f t="shared" si="44"/>
        <v>0.5362090798782132</v>
      </c>
      <c r="AS14" s="28">
        <f t="shared" si="45"/>
        <v>2.778098394889883E-2</v>
      </c>
      <c r="AT14" s="46">
        <f t="shared" si="46"/>
        <v>171155.58667479438</v>
      </c>
      <c r="AU14" s="73">
        <f t="shared" si="47"/>
        <v>171155.58667479438</v>
      </c>
      <c r="AV14" s="69" t="s">
        <v>8</v>
      </c>
      <c r="AW14" s="25" t="s">
        <v>8</v>
      </c>
      <c r="AX14" s="30">
        <f t="shared" si="48"/>
        <v>0.58186078427668442</v>
      </c>
      <c r="AY14" s="28">
        <f t="shared" si="49"/>
        <v>2.2613569033851366E-2</v>
      </c>
      <c r="AZ14" s="46">
        <f t="shared" si="50"/>
        <v>146346.70342962031</v>
      </c>
      <c r="BA14" s="73">
        <f t="shared" si="51"/>
        <v>146346.70342962031</v>
      </c>
      <c r="BB14" s="69" t="s">
        <v>8</v>
      </c>
      <c r="BC14" s="25" t="s">
        <v>8</v>
      </c>
      <c r="BD14" s="30">
        <f t="shared" si="52"/>
        <v>0.62089530587459152</v>
      </c>
      <c r="BE14" s="28">
        <f t="shared" si="53"/>
        <v>2.1508964585133405E-2</v>
      </c>
      <c r="BF14" s="46">
        <f t="shared" si="54"/>
        <v>150308.62474939393</v>
      </c>
      <c r="BG14" s="73">
        <f t="shared" si="55"/>
        <v>112503.3587570214</v>
      </c>
      <c r="BH14" s="69" t="s">
        <v>8</v>
      </c>
      <c r="BI14" s="25" t="s">
        <v>8</v>
      </c>
      <c r="BJ14" s="30">
        <f t="shared" si="56"/>
        <v>0.65090291577849335</v>
      </c>
      <c r="BK14" s="28">
        <f t="shared" si="57"/>
        <v>1.9217429149917198E-2</v>
      </c>
      <c r="BL14" s="46">
        <f t="shared" si="58"/>
        <v>139859.79889007407</v>
      </c>
      <c r="BM14" s="73">
        <f t="shared" si="59"/>
        <v>0</v>
      </c>
      <c r="BN14" s="69" t="s">
        <v>8</v>
      </c>
      <c r="BO14" s="25" t="s">
        <v>8</v>
      </c>
      <c r="BP14" s="30">
        <f t="shared" si="60"/>
        <v>0.65090291577849335</v>
      </c>
      <c r="BQ14" s="28">
        <f t="shared" si="61"/>
        <v>1.9217429149917198E-2</v>
      </c>
      <c r="BR14" s="46">
        <f t="shared" si="62"/>
        <v>139859.79889007407</v>
      </c>
      <c r="BS14" s="113">
        <f t="shared" si="63"/>
        <v>0</v>
      </c>
      <c r="BT14" s="69" t="s">
        <v>8</v>
      </c>
      <c r="BU14" s="25" t="s">
        <v>8</v>
      </c>
      <c r="BV14" s="30">
        <f t="shared" si="64"/>
        <v>0.65090291577849335</v>
      </c>
      <c r="BW14" s="28">
        <f t="shared" si="65"/>
        <v>1.9217429149917198E-2</v>
      </c>
      <c r="BX14" s="46">
        <f t="shared" si="66"/>
        <v>139859.79889007407</v>
      </c>
      <c r="BY14" s="113">
        <f t="shared" si="67"/>
        <v>0</v>
      </c>
      <c r="BZ14" s="69" t="s">
        <v>8</v>
      </c>
      <c r="CA14" s="25" t="s">
        <v>8</v>
      </c>
      <c r="CB14" s="30">
        <f t="shared" si="68"/>
        <v>0.65090291577849335</v>
      </c>
      <c r="CC14" s="28">
        <f t="shared" si="69"/>
        <v>1.9217429149917198E-2</v>
      </c>
      <c r="CD14" s="46">
        <f t="shared" si="70"/>
        <v>139859.79889007407</v>
      </c>
      <c r="CE14" s="113">
        <f t="shared" si="71"/>
        <v>0</v>
      </c>
      <c r="CF14" s="69" t="s">
        <v>8</v>
      </c>
      <c r="CG14" s="25" t="s">
        <v>8</v>
      </c>
      <c r="CH14" s="30">
        <f t="shared" si="72"/>
        <v>0.65090291577849335</v>
      </c>
      <c r="CI14" s="28">
        <f t="shared" si="73"/>
        <v>1.9217429149917198E-2</v>
      </c>
      <c r="CJ14" s="46">
        <f t="shared" si="74"/>
        <v>139859.79889007407</v>
      </c>
      <c r="CK14" s="113">
        <f t="shared" si="75"/>
        <v>0</v>
      </c>
      <c r="CL14" s="69" t="s">
        <v>8</v>
      </c>
      <c r="CM14" s="25" t="s">
        <v>8</v>
      </c>
      <c r="CN14" s="30">
        <f t="shared" si="76"/>
        <v>0.65090291577849335</v>
      </c>
      <c r="CO14" s="28">
        <f t="shared" si="77"/>
        <v>1.9217429149917198E-2</v>
      </c>
      <c r="CP14" s="46">
        <f t="shared" si="78"/>
        <v>139859.79889007407</v>
      </c>
      <c r="CQ14" s="113">
        <f t="shared" si="79"/>
        <v>0</v>
      </c>
      <c r="CR14" s="69" t="s">
        <v>8</v>
      </c>
      <c r="CS14" s="25" t="s">
        <v>8</v>
      </c>
      <c r="CT14" s="30">
        <f t="shared" si="80"/>
        <v>0.65090291577849335</v>
      </c>
      <c r="CU14" s="28">
        <f t="shared" si="81"/>
        <v>1.9217429149917198E-2</v>
      </c>
      <c r="CV14" s="46">
        <f t="shared" si="82"/>
        <v>139859.79889007407</v>
      </c>
      <c r="CW14" s="113">
        <f t="shared" si="83"/>
        <v>0</v>
      </c>
      <c r="CX14" s="69" t="s">
        <v>8</v>
      </c>
      <c r="CY14" s="25" t="s">
        <v>8</v>
      </c>
      <c r="CZ14" s="30">
        <f t="shared" si="84"/>
        <v>0.65090291577849335</v>
      </c>
      <c r="DA14" s="28">
        <f t="shared" si="85"/>
        <v>1.9217429149917198E-2</v>
      </c>
      <c r="DB14" s="46">
        <f t="shared" si="86"/>
        <v>139859.79889007407</v>
      </c>
      <c r="DC14" s="113">
        <f t="shared" si="87"/>
        <v>0</v>
      </c>
      <c r="DD14" s="69" t="s">
        <v>8</v>
      </c>
      <c r="DE14" s="25" t="s">
        <v>8</v>
      </c>
      <c r="DF14" s="30">
        <f t="shared" si="88"/>
        <v>0.65090291577849335</v>
      </c>
      <c r="DG14" s="28">
        <f t="shared" si="89"/>
        <v>1.9217429149917198E-2</v>
      </c>
      <c r="DH14" s="46">
        <f t="shared" si="90"/>
        <v>139859.79889007407</v>
      </c>
      <c r="DI14" s="113">
        <f t="shared" si="91"/>
        <v>0</v>
      </c>
      <c r="DJ14" s="69" t="s">
        <v>8</v>
      </c>
      <c r="DK14" s="25" t="s">
        <v>8</v>
      </c>
      <c r="DL14" s="30">
        <f t="shared" si="92"/>
        <v>0.65090291577849335</v>
      </c>
      <c r="DM14" s="28">
        <f t="shared" si="93"/>
        <v>1.9217429149917198E-2</v>
      </c>
      <c r="DN14" s="46">
        <f t="shared" si="94"/>
        <v>139859.79889007407</v>
      </c>
      <c r="DO14" s="113">
        <f t="shared" si="95"/>
        <v>0</v>
      </c>
      <c r="DP14" s="69" t="s">
        <v>8</v>
      </c>
      <c r="DQ14" s="25" t="s">
        <v>8</v>
      </c>
      <c r="DR14" s="30">
        <f t="shared" si="96"/>
        <v>0.65090291577849335</v>
      </c>
      <c r="DS14" s="28">
        <f t="shared" si="97"/>
        <v>1.9217429149917198E-2</v>
      </c>
      <c r="DT14" s="46">
        <f t="shared" si="98"/>
        <v>139859.79889007407</v>
      </c>
      <c r="DU14" s="113">
        <f t="shared" si="99"/>
        <v>0</v>
      </c>
      <c r="DV14" s="69" t="s">
        <v>8</v>
      </c>
      <c r="DW14" s="25" t="s">
        <v>8</v>
      </c>
      <c r="DX14" s="30">
        <f t="shared" si="100"/>
        <v>0.65090291577849335</v>
      </c>
      <c r="DY14" s="28">
        <f t="shared" si="101"/>
        <v>1.9217429149917198E-2</v>
      </c>
      <c r="DZ14" s="29">
        <f t="shared" si="102"/>
        <v>139859.79889007407</v>
      </c>
      <c r="EA14" s="73">
        <f t="shared" si="103"/>
        <v>0</v>
      </c>
      <c r="EB14" s="69" t="s">
        <v>8</v>
      </c>
      <c r="EC14" s="25" t="s">
        <v>8</v>
      </c>
      <c r="ED14" s="30">
        <f t="shared" si="104"/>
        <v>0.65090291577849335</v>
      </c>
      <c r="EE14" s="28">
        <f t="shared" si="105"/>
        <v>1.9217429149917198E-2</v>
      </c>
      <c r="EF14" s="29">
        <f t="shared" si="106"/>
        <v>139859.79889007407</v>
      </c>
      <c r="EG14" s="73">
        <f t="shared" si="107"/>
        <v>0</v>
      </c>
      <c r="EH14" s="69" t="s">
        <v>8</v>
      </c>
      <c r="EI14" s="25" t="s">
        <v>8</v>
      </c>
      <c r="EJ14" s="30">
        <f t="shared" si="108"/>
        <v>0.65090291577849335</v>
      </c>
      <c r="EK14" s="28">
        <f t="shared" si="109"/>
        <v>1.9217429149917198E-2</v>
      </c>
      <c r="EL14" s="29">
        <f t="shared" si="110"/>
        <v>139859.79889007407</v>
      </c>
      <c r="EM14" s="73">
        <f t="shared" si="111"/>
        <v>0</v>
      </c>
      <c r="EN14" s="69" t="s">
        <v>8</v>
      </c>
      <c r="EO14" s="25" t="s">
        <v>8</v>
      </c>
      <c r="EP14" s="30">
        <f t="shared" si="112"/>
        <v>0.65090291577849335</v>
      </c>
      <c r="EQ14" s="28">
        <f t="shared" si="113"/>
        <v>1.9217429149917198E-2</v>
      </c>
      <c r="ER14" s="29">
        <f t="shared" si="114"/>
        <v>139859.79889007407</v>
      </c>
      <c r="ES14" s="73">
        <f t="shared" si="115"/>
        <v>0</v>
      </c>
      <c r="ET14" s="69" t="s">
        <v>8</v>
      </c>
      <c r="EU14" s="25" t="s">
        <v>8</v>
      </c>
      <c r="EV14" s="30">
        <f t="shared" si="116"/>
        <v>0.65090291577849335</v>
      </c>
      <c r="EW14" s="28">
        <f t="shared" si="117"/>
        <v>1.9217429149917198E-2</v>
      </c>
      <c r="EX14" s="29">
        <f t="shared" si="118"/>
        <v>139859.79889007407</v>
      </c>
      <c r="EY14" s="73">
        <f t="shared" si="119"/>
        <v>0</v>
      </c>
      <c r="EZ14" s="69" t="s">
        <v>8</v>
      </c>
      <c r="FA14" s="25" t="s">
        <v>8</v>
      </c>
      <c r="FB14" s="30">
        <f t="shared" si="120"/>
        <v>0.65090291577849335</v>
      </c>
      <c r="FC14" s="28">
        <f t="shared" si="121"/>
        <v>1.9217429149917198E-2</v>
      </c>
      <c r="FD14" s="29">
        <f t="shared" si="122"/>
        <v>139859.79889007407</v>
      </c>
      <c r="FE14" s="73">
        <f t="shared" si="123"/>
        <v>0</v>
      </c>
      <c r="FF14" s="69" t="s">
        <v>8</v>
      </c>
      <c r="FG14" s="25" t="s">
        <v>8</v>
      </c>
      <c r="FH14" s="30">
        <f t="shared" si="124"/>
        <v>0.65090291577849335</v>
      </c>
      <c r="FI14" s="28">
        <f t="shared" si="125"/>
        <v>1.9217429149917198E-2</v>
      </c>
      <c r="FJ14" s="29">
        <f t="shared" si="126"/>
        <v>139859.79889007407</v>
      </c>
      <c r="FK14" s="73">
        <f t="shared" si="127"/>
        <v>0</v>
      </c>
      <c r="FL14" s="69" t="s">
        <v>8</v>
      </c>
      <c r="FM14" s="25" t="s">
        <v>8</v>
      </c>
      <c r="FN14" s="30">
        <f t="shared" si="128"/>
        <v>0.65090291577849335</v>
      </c>
      <c r="FO14" s="28">
        <f t="shared" si="129"/>
        <v>1.9217429149917198E-2</v>
      </c>
      <c r="FP14" s="29">
        <f t="shared" si="130"/>
        <v>139859.79889007407</v>
      </c>
      <c r="FQ14" s="73">
        <f t="shared" si="131"/>
        <v>0</v>
      </c>
      <c r="FR14" s="69" t="s">
        <v>8</v>
      </c>
      <c r="FS14" s="25" t="s">
        <v>8</v>
      </c>
      <c r="FT14" s="30">
        <f t="shared" si="132"/>
        <v>0.65090291577849335</v>
      </c>
      <c r="FU14" s="28">
        <f t="shared" si="133"/>
        <v>1.9217429149917198E-2</v>
      </c>
      <c r="FV14" s="29">
        <f t="shared" si="134"/>
        <v>139859.79889007407</v>
      </c>
      <c r="FW14" s="73">
        <f t="shared" si="135"/>
        <v>0</v>
      </c>
      <c r="FX14" s="69" t="s">
        <v>8</v>
      </c>
      <c r="FY14" s="25" t="s">
        <v>8</v>
      </c>
      <c r="FZ14" s="30">
        <f t="shared" si="136"/>
        <v>0.65090291577849335</v>
      </c>
      <c r="GA14" s="28">
        <f t="shared" si="137"/>
        <v>1.9217429149917198E-2</v>
      </c>
      <c r="GB14" s="29">
        <f t="shared" si="138"/>
        <v>139859.79889007407</v>
      </c>
      <c r="GC14" s="73">
        <f t="shared" si="139"/>
        <v>0</v>
      </c>
      <c r="GD14" s="69" t="s">
        <v>8</v>
      </c>
      <c r="GE14" s="25" t="s">
        <v>8</v>
      </c>
      <c r="GF14" s="30">
        <f t="shared" si="140"/>
        <v>0.65090291577849335</v>
      </c>
      <c r="GG14" s="28">
        <f t="shared" si="141"/>
        <v>1.9217429149917198E-2</v>
      </c>
      <c r="GH14" s="29">
        <f t="shared" si="142"/>
        <v>139859.79889007407</v>
      </c>
      <c r="GI14" s="113">
        <f t="shared" si="143"/>
        <v>0</v>
      </c>
      <c r="GJ14" s="142">
        <f t="shared" si="146"/>
        <v>2069605.6191340869</v>
      </c>
      <c r="GK14" s="238">
        <f t="shared" si="144"/>
        <v>2109579.7832860174</v>
      </c>
      <c r="GL14" s="196">
        <f t="shared" si="145"/>
        <v>0.65090291577849324</v>
      </c>
      <c r="GM14" s="86">
        <v>2109579.7799999998</v>
      </c>
      <c r="GN14" s="244"/>
    </row>
    <row r="15" spans="1:196" s="20" customFormat="1" ht="31.5" x14ac:dyDescent="0.25">
      <c r="A15" s="159" t="s">
        <v>178</v>
      </c>
      <c r="B15" s="130" t="s">
        <v>8</v>
      </c>
      <c r="C15" s="130" t="s">
        <v>8</v>
      </c>
      <c r="D15" s="130" t="s">
        <v>8</v>
      </c>
      <c r="E15" s="130" t="s">
        <v>8</v>
      </c>
      <c r="F15" s="130" t="s">
        <v>8</v>
      </c>
      <c r="G15" s="95">
        <f>'Исходные данные'!C17</f>
        <v>711</v>
      </c>
      <c r="H15" s="42">
        <f>'Исходные данные'!F17</f>
        <v>498630</v>
      </c>
      <c r="I15" s="27">
        <f>'Расчет КРП'!G13</f>
        <v>3.3549950196919598</v>
      </c>
      <c r="J15" s="102" t="s">
        <v>8</v>
      </c>
      <c r="K15" s="106">
        <f t="shared" si="22"/>
        <v>0.11048971776385252</v>
      </c>
      <c r="L15" s="70">
        <f t="shared" si="23"/>
        <v>63299.84568379198</v>
      </c>
      <c r="M15" s="66">
        <f t="shared" si="24"/>
        <v>0.12451611425844292</v>
      </c>
      <c r="N15" s="25" t="s">
        <v>8</v>
      </c>
      <c r="O15" s="28">
        <f t="shared" si="25"/>
        <v>0.1468722336255833</v>
      </c>
      <c r="P15" s="29">
        <f t="shared" si="26"/>
        <v>694012.32376384898</v>
      </c>
      <c r="Q15" s="73">
        <f t="shared" si="27"/>
        <v>694012.32376384898</v>
      </c>
      <c r="R15" s="135" t="s">
        <v>8</v>
      </c>
      <c r="S15" s="25" t="s">
        <v>8</v>
      </c>
      <c r="T15" s="30">
        <f t="shared" si="28"/>
        <v>0.27829993347770993</v>
      </c>
      <c r="U15" s="28">
        <f t="shared" si="29"/>
        <v>6.7443891630839026E-2</v>
      </c>
      <c r="V15" s="46">
        <f t="shared" si="30"/>
        <v>364692.86946330208</v>
      </c>
      <c r="W15" s="73">
        <f t="shared" si="31"/>
        <v>364692.86946330208</v>
      </c>
      <c r="X15" s="69" t="s">
        <v>8</v>
      </c>
      <c r="Y15" s="25" t="s">
        <v>8</v>
      </c>
      <c r="Z15" s="30">
        <f t="shared" si="32"/>
        <v>0.35911098018065557</v>
      </c>
      <c r="AA15" s="28">
        <f t="shared" si="33"/>
        <v>5.0740533679717537E-2</v>
      </c>
      <c r="AB15" s="46">
        <f t="shared" si="34"/>
        <v>304092.94820205949</v>
      </c>
      <c r="AC15" s="73">
        <f t="shared" si="35"/>
        <v>304092.94820205949</v>
      </c>
      <c r="AD15" s="69" t="s">
        <v>8</v>
      </c>
      <c r="AE15" s="25" t="s">
        <v>8</v>
      </c>
      <c r="AF15" s="30">
        <f t="shared" si="36"/>
        <v>0.42649389741552585</v>
      </c>
      <c r="AG15" s="28">
        <f t="shared" si="37"/>
        <v>4.0220634383092535E-2</v>
      </c>
      <c r="AH15" s="46">
        <f t="shared" si="38"/>
        <v>262122.785812313</v>
      </c>
      <c r="AI15" s="73">
        <f t="shared" si="39"/>
        <v>262122.785812313</v>
      </c>
      <c r="AJ15" s="69" t="s">
        <v>8</v>
      </c>
      <c r="AK15" s="25" t="s">
        <v>8</v>
      </c>
      <c r="AL15" s="30">
        <f t="shared" si="40"/>
        <v>0.48457678978838203</v>
      </c>
      <c r="AM15" s="28">
        <f t="shared" si="41"/>
        <v>3.3323800445787533E-2</v>
      </c>
      <c r="AN15" s="46">
        <f t="shared" si="42"/>
        <v>232925.55736289106</v>
      </c>
      <c r="AO15" s="73">
        <f t="shared" si="43"/>
        <v>232925.55736289106</v>
      </c>
      <c r="AP15" s="69" t="s">
        <v>8</v>
      </c>
      <c r="AQ15" s="25" t="s">
        <v>8</v>
      </c>
      <c r="AR15" s="30">
        <f t="shared" si="44"/>
        <v>0.53618996808293695</v>
      </c>
      <c r="AS15" s="28">
        <f t="shared" si="45"/>
        <v>2.780009574417508E-2</v>
      </c>
      <c r="AT15" s="46">
        <f t="shared" si="46"/>
        <v>206163.70224508739</v>
      </c>
      <c r="AU15" s="73">
        <f t="shared" si="47"/>
        <v>206163.70224508739</v>
      </c>
      <c r="AV15" s="69" t="s">
        <v>8</v>
      </c>
      <c r="AW15" s="25" t="s">
        <v>8</v>
      </c>
      <c r="AX15" s="30">
        <f t="shared" si="48"/>
        <v>0.58187307835349944</v>
      </c>
      <c r="AY15" s="28">
        <f t="shared" si="49"/>
        <v>2.2601274957036344E-2</v>
      </c>
      <c r="AZ15" s="46">
        <f t="shared" si="50"/>
        <v>176063.4584955789</v>
      </c>
      <c r="BA15" s="73">
        <f t="shared" si="51"/>
        <v>176063.4584955789</v>
      </c>
      <c r="BB15" s="69" t="s">
        <v>8</v>
      </c>
      <c r="BC15" s="25" t="s">
        <v>8</v>
      </c>
      <c r="BD15" s="30">
        <f t="shared" si="52"/>
        <v>0.62088637847123052</v>
      </c>
      <c r="BE15" s="28">
        <f t="shared" si="53"/>
        <v>2.1517891988494409E-2</v>
      </c>
      <c r="BF15" s="46">
        <f t="shared" si="54"/>
        <v>181003.3350418481</v>
      </c>
      <c r="BG15" s="73">
        <f t="shared" si="55"/>
        <v>135477.80889075354</v>
      </c>
      <c r="BH15" s="69" t="s">
        <v>8</v>
      </c>
      <c r="BI15" s="25" t="s">
        <v>8</v>
      </c>
      <c r="BJ15" s="30">
        <f t="shared" si="56"/>
        <v>0.6509064431837519</v>
      </c>
      <c r="BK15" s="28">
        <f t="shared" si="57"/>
        <v>1.9213901744658646E-2</v>
      </c>
      <c r="BL15" s="46">
        <f t="shared" si="58"/>
        <v>168319.96544637837</v>
      </c>
      <c r="BM15" s="73">
        <f t="shared" si="59"/>
        <v>0</v>
      </c>
      <c r="BN15" s="69" t="s">
        <v>8</v>
      </c>
      <c r="BO15" s="25" t="s">
        <v>8</v>
      </c>
      <c r="BP15" s="30">
        <f t="shared" si="60"/>
        <v>0.6509064431837519</v>
      </c>
      <c r="BQ15" s="28">
        <f t="shared" si="61"/>
        <v>1.9213901744658646E-2</v>
      </c>
      <c r="BR15" s="46">
        <f t="shared" si="62"/>
        <v>168319.96544637837</v>
      </c>
      <c r="BS15" s="113">
        <f t="shared" si="63"/>
        <v>0</v>
      </c>
      <c r="BT15" s="69" t="s">
        <v>8</v>
      </c>
      <c r="BU15" s="25" t="s">
        <v>8</v>
      </c>
      <c r="BV15" s="30">
        <f t="shared" si="64"/>
        <v>0.6509064431837519</v>
      </c>
      <c r="BW15" s="28">
        <f t="shared" si="65"/>
        <v>1.9213901744658646E-2</v>
      </c>
      <c r="BX15" s="46">
        <f t="shared" si="66"/>
        <v>168319.96544637837</v>
      </c>
      <c r="BY15" s="113">
        <f t="shared" si="67"/>
        <v>0</v>
      </c>
      <c r="BZ15" s="69" t="s">
        <v>8</v>
      </c>
      <c r="CA15" s="25" t="s">
        <v>8</v>
      </c>
      <c r="CB15" s="30">
        <f t="shared" si="68"/>
        <v>0.6509064431837519</v>
      </c>
      <c r="CC15" s="28">
        <f t="shared" si="69"/>
        <v>1.9213901744658646E-2</v>
      </c>
      <c r="CD15" s="46">
        <f t="shared" si="70"/>
        <v>168319.96544637837</v>
      </c>
      <c r="CE15" s="113">
        <f t="shared" si="71"/>
        <v>0</v>
      </c>
      <c r="CF15" s="69" t="s">
        <v>8</v>
      </c>
      <c r="CG15" s="25" t="s">
        <v>8</v>
      </c>
      <c r="CH15" s="30">
        <f t="shared" si="72"/>
        <v>0.6509064431837519</v>
      </c>
      <c r="CI15" s="28">
        <f t="shared" si="73"/>
        <v>1.9213901744658646E-2</v>
      </c>
      <c r="CJ15" s="46">
        <f t="shared" si="74"/>
        <v>168319.96544637837</v>
      </c>
      <c r="CK15" s="113">
        <f t="shared" si="75"/>
        <v>0</v>
      </c>
      <c r="CL15" s="69" t="s">
        <v>8</v>
      </c>
      <c r="CM15" s="25" t="s">
        <v>8</v>
      </c>
      <c r="CN15" s="30">
        <f t="shared" si="76"/>
        <v>0.6509064431837519</v>
      </c>
      <c r="CO15" s="28">
        <f t="shared" si="77"/>
        <v>1.9213901744658646E-2</v>
      </c>
      <c r="CP15" s="46">
        <f t="shared" si="78"/>
        <v>168319.96544637837</v>
      </c>
      <c r="CQ15" s="113">
        <f t="shared" si="79"/>
        <v>0</v>
      </c>
      <c r="CR15" s="69" t="s">
        <v>8</v>
      </c>
      <c r="CS15" s="25" t="s">
        <v>8</v>
      </c>
      <c r="CT15" s="30">
        <f t="shared" si="80"/>
        <v>0.6509064431837519</v>
      </c>
      <c r="CU15" s="28">
        <f t="shared" si="81"/>
        <v>1.9213901744658646E-2</v>
      </c>
      <c r="CV15" s="46">
        <f t="shared" si="82"/>
        <v>168319.96544637837</v>
      </c>
      <c r="CW15" s="113">
        <f t="shared" si="83"/>
        <v>0</v>
      </c>
      <c r="CX15" s="69" t="s">
        <v>8</v>
      </c>
      <c r="CY15" s="25" t="s">
        <v>8</v>
      </c>
      <c r="CZ15" s="30">
        <f t="shared" si="84"/>
        <v>0.6509064431837519</v>
      </c>
      <c r="DA15" s="28">
        <f t="shared" si="85"/>
        <v>1.9213901744658646E-2</v>
      </c>
      <c r="DB15" s="46">
        <f t="shared" si="86"/>
        <v>168319.96544637837</v>
      </c>
      <c r="DC15" s="113">
        <f t="shared" si="87"/>
        <v>0</v>
      </c>
      <c r="DD15" s="69" t="s">
        <v>8</v>
      </c>
      <c r="DE15" s="25" t="s">
        <v>8</v>
      </c>
      <c r="DF15" s="30">
        <f t="shared" si="88"/>
        <v>0.6509064431837519</v>
      </c>
      <c r="DG15" s="28">
        <f t="shared" si="89"/>
        <v>1.9213901744658646E-2</v>
      </c>
      <c r="DH15" s="46">
        <f t="shared" si="90"/>
        <v>168319.96544637837</v>
      </c>
      <c r="DI15" s="113">
        <f t="shared" si="91"/>
        <v>0</v>
      </c>
      <c r="DJ15" s="69" t="s">
        <v>8</v>
      </c>
      <c r="DK15" s="25" t="s">
        <v>8</v>
      </c>
      <c r="DL15" s="30">
        <f t="shared" si="92"/>
        <v>0.6509064431837519</v>
      </c>
      <c r="DM15" s="28">
        <f t="shared" si="93"/>
        <v>1.9213901744658646E-2</v>
      </c>
      <c r="DN15" s="46">
        <f t="shared" si="94"/>
        <v>168319.96544637837</v>
      </c>
      <c r="DO15" s="113">
        <f t="shared" si="95"/>
        <v>0</v>
      </c>
      <c r="DP15" s="69" t="s">
        <v>8</v>
      </c>
      <c r="DQ15" s="25" t="s">
        <v>8</v>
      </c>
      <c r="DR15" s="30">
        <f t="shared" si="96"/>
        <v>0.6509064431837519</v>
      </c>
      <c r="DS15" s="28">
        <f t="shared" si="97"/>
        <v>1.9213901744658646E-2</v>
      </c>
      <c r="DT15" s="46">
        <f t="shared" si="98"/>
        <v>168319.96544637837</v>
      </c>
      <c r="DU15" s="113">
        <f t="shared" si="99"/>
        <v>0</v>
      </c>
      <c r="DV15" s="69" t="s">
        <v>8</v>
      </c>
      <c r="DW15" s="25" t="s">
        <v>8</v>
      </c>
      <c r="DX15" s="30">
        <f t="shared" si="100"/>
        <v>0.6509064431837519</v>
      </c>
      <c r="DY15" s="28">
        <f t="shared" si="101"/>
        <v>1.9213901744658646E-2</v>
      </c>
      <c r="DZ15" s="29">
        <f t="shared" si="102"/>
        <v>168319.96544637837</v>
      </c>
      <c r="EA15" s="73">
        <f t="shared" si="103"/>
        <v>0</v>
      </c>
      <c r="EB15" s="69" t="s">
        <v>8</v>
      </c>
      <c r="EC15" s="25" t="s">
        <v>8</v>
      </c>
      <c r="ED15" s="30">
        <f t="shared" si="104"/>
        <v>0.6509064431837519</v>
      </c>
      <c r="EE15" s="28">
        <f t="shared" si="105"/>
        <v>1.9213901744658646E-2</v>
      </c>
      <c r="EF15" s="29">
        <f t="shared" si="106"/>
        <v>168319.96544637837</v>
      </c>
      <c r="EG15" s="73">
        <f t="shared" si="107"/>
        <v>0</v>
      </c>
      <c r="EH15" s="69" t="s">
        <v>8</v>
      </c>
      <c r="EI15" s="25" t="s">
        <v>8</v>
      </c>
      <c r="EJ15" s="30">
        <f t="shared" si="108"/>
        <v>0.6509064431837519</v>
      </c>
      <c r="EK15" s="28">
        <f t="shared" si="109"/>
        <v>1.9213901744658646E-2</v>
      </c>
      <c r="EL15" s="29">
        <f t="shared" si="110"/>
        <v>168319.96544637837</v>
      </c>
      <c r="EM15" s="73">
        <f t="shared" si="111"/>
        <v>0</v>
      </c>
      <c r="EN15" s="69" t="s">
        <v>8</v>
      </c>
      <c r="EO15" s="25" t="s">
        <v>8</v>
      </c>
      <c r="EP15" s="30">
        <f t="shared" si="112"/>
        <v>0.6509064431837519</v>
      </c>
      <c r="EQ15" s="28">
        <f t="shared" si="113"/>
        <v>1.9213901744658646E-2</v>
      </c>
      <c r="ER15" s="29">
        <f t="shared" si="114"/>
        <v>168319.96544637837</v>
      </c>
      <c r="ES15" s="73">
        <f t="shared" si="115"/>
        <v>0</v>
      </c>
      <c r="ET15" s="69" t="s">
        <v>8</v>
      </c>
      <c r="EU15" s="25" t="s">
        <v>8</v>
      </c>
      <c r="EV15" s="30">
        <f t="shared" si="116"/>
        <v>0.6509064431837519</v>
      </c>
      <c r="EW15" s="28">
        <f t="shared" si="117"/>
        <v>1.9213901744658646E-2</v>
      </c>
      <c r="EX15" s="29">
        <f t="shared" si="118"/>
        <v>168319.96544637837</v>
      </c>
      <c r="EY15" s="73">
        <f t="shared" si="119"/>
        <v>0</v>
      </c>
      <c r="EZ15" s="69" t="s">
        <v>8</v>
      </c>
      <c r="FA15" s="25" t="s">
        <v>8</v>
      </c>
      <c r="FB15" s="30">
        <f t="shared" si="120"/>
        <v>0.6509064431837519</v>
      </c>
      <c r="FC15" s="28">
        <f t="shared" si="121"/>
        <v>1.9213901744658646E-2</v>
      </c>
      <c r="FD15" s="29">
        <f t="shared" si="122"/>
        <v>168319.96544637837</v>
      </c>
      <c r="FE15" s="73">
        <f t="shared" si="123"/>
        <v>0</v>
      </c>
      <c r="FF15" s="69" t="s">
        <v>8</v>
      </c>
      <c r="FG15" s="25" t="s">
        <v>8</v>
      </c>
      <c r="FH15" s="30">
        <f t="shared" si="124"/>
        <v>0.6509064431837519</v>
      </c>
      <c r="FI15" s="28">
        <f t="shared" si="125"/>
        <v>1.9213901744658646E-2</v>
      </c>
      <c r="FJ15" s="29">
        <f t="shared" si="126"/>
        <v>168319.96544637837</v>
      </c>
      <c r="FK15" s="73">
        <f t="shared" si="127"/>
        <v>0</v>
      </c>
      <c r="FL15" s="69" t="s">
        <v>8</v>
      </c>
      <c r="FM15" s="25" t="s">
        <v>8</v>
      </c>
      <c r="FN15" s="30">
        <f t="shared" si="128"/>
        <v>0.6509064431837519</v>
      </c>
      <c r="FO15" s="28">
        <f t="shared" si="129"/>
        <v>1.9213901744658646E-2</v>
      </c>
      <c r="FP15" s="29">
        <f t="shared" si="130"/>
        <v>168319.96544637837</v>
      </c>
      <c r="FQ15" s="73">
        <f t="shared" si="131"/>
        <v>0</v>
      </c>
      <c r="FR15" s="69" t="s">
        <v>8</v>
      </c>
      <c r="FS15" s="25" t="s">
        <v>8</v>
      </c>
      <c r="FT15" s="30">
        <f t="shared" si="132"/>
        <v>0.6509064431837519</v>
      </c>
      <c r="FU15" s="28">
        <f t="shared" si="133"/>
        <v>1.9213901744658646E-2</v>
      </c>
      <c r="FV15" s="29">
        <f t="shared" si="134"/>
        <v>168319.96544637837</v>
      </c>
      <c r="FW15" s="73">
        <f t="shared" si="135"/>
        <v>0</v>
      </c>
      <c r="FX15" s="69" t="s">
        <v>8</v>
      </c>
      <c r="FY15" s="25" t="s">
        <v>8</v>
      </c>
      <c r="FZ15" s="30">
        <f t="shared" si="136"/>
        <v>0.6509064431837519</v>
      </c>
      <c r="GA15" s="28">
        <f t="shared" si="137"/>
        <v>1.9213901744658646E-2</v>
      </c>
      <c r="GB15" s="29">
        <f t="shared" si="138"/>
        <v>168319.96544637837</v>
      </c>
      <c r="GC15" s="73">
        <f t="shared" si="139"/>
        <v>0</v>
      </c>
      <c r="GD15" s="69" t="s">
        <v>8</v>
      </c>
      <c r="GE15" s="25" t="s">
        <v>8</v>
      </c>
      <c r="GF15" s="30">
        <f t="shared" si="140"/>
        <v>0.6509064431837519</v>
      </c>
      <c r="GG15" s="28">
        <f t="shared" si="141"/>
        <v>1.9213901744658646E-2</v>
      </c>
      <c r="GH15" s="29">
        <f t="shared" si="142"/>
        <v>168319.96544637837</v>
      </c>
      <c r="GI15" s="113">
        <f t="shared" si="143"/>
        <v>0</v>
      </c>
      <c r="GJ15" s="142">
        <f t="shared" si="146"/>
        <v>2375551.4542358341</v>
      </c>
      <c r="GK15" s="238">
        <f t="shared" si="144"/>
        <v>2438851.2999196262</v>
      </c>
      <c r="GL15" s="196">
        <f t="shared" si="145"/>
        <v>0.65090644318375179</v>
      </c>
      <c r="GM15" s="86">
        <v>2438851.2999999998</v>
      </c>
      <c r="GN15" s="244"/>
    </row>
    <row r="16" spans="1:196" s="20" customFormat="1" x14ac:dyDescent="0.25">
      <c r="A16" s="159" t="s">
        <v>179</v>
      </c>
      <c r="B16" s="130" t="s">
        <v>8</v>
      </c>
      <c r="C16" s="130" t="s">
        <v>8</v>
      </c>
      <c r="D16" s="130" t="s">
        <v>8</v>
      </c>
      <c r="E16" s="130" t="s">
        <v>8</v>
      </c>
      <c r="F16" s="130" t="s">
        <v>8</v>
      </c>
      <c r="G16" s="95">
        <f>'Исходные данные'!C18</f>
        <v>556</v>
      </c>
      <c r="H16" s="42">
        <f>'Исходные данные'!F18</f>
        <v>489878</v>
      </c>
      <c r="I16" s="27">
        <f>'Расчет КРП'!G14</f>
        <v>3.8058253045502948</v>
      </c>
      <c r="J16" s="102" t="s">
        <v>8</v>
      </c>
      <c r="K16" s="106">
        <f t="shared" si="22"/>
        <v>0.12236838707676422</v>
      </c>
      <c r="L16" s="70">
        <f t="shared" si="23"/>
        <v>49500.301266087685</v>
      </c>
      <c r="M16" s="66">
        <f t="shared" si="24"/>
        <v>0.13473324531850003</v>
      </c>
      <c r="N16" s="25" t="s">
        <v>8</v>
      </c>
      <c r="O16" s="28">
        <f t="shared" si="25"/>
        <v>0.13665510256552618</v>
      </c>
      <c r="P16" s="29">
        <f t="shared" si="26"/>
        <v>572816.46869948087</v>
      </c>
      <c r="Q16" s="73">
        <f t="shared" si="27"/>
        <v>572816.46869948087</v>
      </c>
      <c r="R16" s="135" t="s">
        <v>8</v>
      </c>
      <c r="S16" s="25" t="s">
        <v>8</v>
      </c>
      <c r="T16" s="30">
        <f t="shared" si="28"/>
        <v>0.27781913071397257</v>
      </c>
      <c r="U16" s="28">
        <f t="shared" si="29"/>
        <v>6.7924694394576379E-2</v>
      </c>
      <c r="V16" s="46">
        <f t="shared" si="30"/>
        <v>325817.57248861616</v>
      </c>
      <c r="W16" s="73">
        <f t="shared" si="31"/>
        <v>325817.57248861616</v>
      </c>
      <c r="X16" s="69" t="s">
        <v>8</v>
      </c>
      <c r="Y16" s="25" t="s">
        <v>8</v>
      </c>
      <c r="Z16" s="30">
        <f t="shared" si="32"/>
        <v>0.35920627368977193</v>
      </c>
      <c r="AA16" s="28">
        <f t="shared" si="33"/>
        <v>5.064524017060118E-2</v>
      </c>
      <c r="AB16" s="46">
        <f t="shared" si="34"/>
        <v>269247.76924548106</v>
      </c>
      <c r="AC16" s="73">
        <f t="shared" si="35"/>
        <v>269247.76924548106</v>
      </c>
      <c r="AD16" s="69" t="s">
        <v>8</v>
      </c>
      <c r="AE16" s="25" t="s">
        <v>8</v>
      </c>
      <c r="AF16" s="30">
        <f t="shared" si="36"/>
        <v>0.4264626421051454</v>
      </c>
      <c r="AG16" s="28">
        <f t="shared" si="37"/>
        <v>4.0251889693472986E-2</v>
      </c>
      <c r="AH16" s="46">
        <f t="shared" si="38"/>
        <v>232704.23813569479</v>
      </c>
      <c r="AI16" s="73">
        <f t="shared" si="39"/>
        <v>232704.23813569479</v>
      </c>
      <c r="AJ16" s="69" t="s">
        <v>8</v>
      </c>
      <c r="AK16" s="25" t="s">
        <v>8</v>
      </c>
      <c r="AL16" s="30">
        <f t="shared" si="40"/>
        <v>0.48459067048484855</v>
      </c>
      <c r="AM16" s="28">
        <f t="shared" si="41"/>
        <v>3.3309919749321015E-2</v>
      </c>
      <c r="AN16" s="46">
        <f t="shared" si="42"/>
        <v>206537.23805323924</v>
      </c>
      <c r="AO16" s="73">
        <f t="shared" si="43"/>
        <v>206537.23805323924</v>
      </c>
      <c r="AP16" s="69" t="s">
        <v>8</v>
      </c>
      <c r="AQ16" s="25" t="s">
        <v>8</v>
      </c>
      <c r="AR16" s="30">
        <f t="shared" si="44"/>
        <v>0.53618234982514268</v>
      </c>
      <c r="AS16" s="28">
        <f t="shared" si="45"/>
        <v>2.7807714001969353E-2</v>
      </c>
      <c r="AT16" s="46">
        <f t="shared" si="46"/>
        <v>182933.54963303279</v>
      </c>
      <c r="AU16" s="73">
        <f t="shared" si="47"/>
        <v>182933.54963303279</v>
      </c>
      <c r="AV16" s="69" t="s">
        <v>8</v>
      </c>
      <c r="AW16" s="25" t="s">
        <v>8</v>
      </c>
      <c r="AX16" s="30">
        <f t="shared" si="48"/>
        <v>0.58187797896305327</v>
      </c>
      <c r="AY16" s="28">
        <f t="shared" si="49"/>
        <v>2.2596374347482517E-2</v>
      </c>
      <c r="AZ16" s="46">
        <f t="shared" si="50"/>
        <v>156148.28233189083</v>
      </c>
      <c r="BA16" s="73">
        <f t="shared" si="51"/>
        <v>156148.28233189083</v>
      </c>
      <c r="BB16" s="69" t="s">
        <v>8</v>
      </c>
      <c r="BC16" s="25" t="s">
        <v>8</v>
      </c>
      <c r="BD16" s="30">
        <f t="shared" si="52"/>
        <v>0.62088281986989269</v>
      </c>
      <c r="BE16" s="28">
        <f t="shared" si="53"/>
        <v>2.1521450589832236E-2</v>
      </c>
      <c r="BF16" s="46">
        <f t="shared" si="54"/>
        <v>160590.76039320265</v>
      </c>
      <c r="BG16" s="73">
        <f t="shared" si="55"/>
        <v>120199.35622258556</v>
      </c>
      <c r="BH16" s="69" t="s">
        <v>8</v>
      </c>
      <c r="BI16" s="25" t="s">
        <v>8</v>
      </c>
      <c r="BJ16" s="30">
        <f t="shared" si="56"/>
        <v>0.65090784926215628</v>
      </c>
      <c r="BK16" s="28">
        <f t="shared" si="57"/>
        <v>1.921249566625427E-2</v>
      </c>
      <c r="BL16" s="46">
        <f t="shared" si="58"/>
        <v>149302.13247500389</v>
      </c>
      <c r="BM16" s="73">
        <f t="shared" si="59"/>
        <v>0</v>
      </c>
      <c r="BN16" s="69" t="s">
        <v>8</v>
      </c>
      <c r="BO16" s="25" t="s">
        <v>8</v>
      </c>
      <c r="BP16" s="30">
        <f t="shared" si="60"/>
        <v>0.65090784926215628</v>
      </c>
      <c r="BQ16" s="28">
        <f t="shared" si="61"/>
        <v>1.921249566625427E-2</v>
      </c>
      <c r="BR16" s="46">
        <f t="shared" si="62"/>
        <v>149302.13247500389</v>
      </c>
      <c r="BS16" s="113">
        <f t="shared" si="63"/>
        <v>0</v>
      </c>
      <c r="BT16" s="69" t="s">
        <v>8</v>
      </c>
      <c r="BU16" s="25" t="s">
        <v>8</v>
      </c>
      <c r="BV16" s="30">
        <f t="shared" si="64"/>
        <v>0.65090784926215628</v>
      </c>
      <c r="BW16" s="28">
        <f t="shared" si="65"/>
        <v>1.921249566625427E-2</v>
      </c>
      <c r="BX16" s="46">
        <f t="shared" si="66"/>
        <v>149302.13247500389</v>
      </c>
      <c r="BY16" s="113">
        <f t="shared" si="67"/>
        <v>0</v>
      </c>
      <c r="BZ16" s="69" t="s">
        <v>8</v>
      </c>
      <c r="CA16" s="25" t="s">
        <v>8</v>
      </c>
      <c r="CB16" s="30">
        <f t="shared" si="68"/>
        <v>0.65090784926215628</v>
      </c>
      <c r="CC16" s="28">
        <f t="shared" si="69"/>
        <v>1.921249566625427E-2</v>
      </c>
      <c r="CD16" s="46">
        <f t="shared" si="70"/>
        <v>149302.13247500389</v>
      </c>
      <c r="CE16" s="113">
        <f t="shared" si="71"/>
        <v>0</v>
      </c>
      <c r="CF16" s="69" t="s">
        <v>8</v>
      </c>
      <c r="CG16" s="25" t="s">
        <v>8</v>
      </c>
      <c r="CH16" s="30">
        <f t="shared" si="72"/>
        <v>0.65090784926215628</v>
      </c>
      <c r="CI16" s="28">
        <f t="shared" si="73"/>
        <v>1.921249566625427E-2</v>
      </c>
      <c r="CJ16" s="46">
        <f t="shared" si="74"/>
        <v>149302.13247500389</v>
      </c>
      <c r="CK16" s="113">
        <f t="shared" si="75"/>
        <v>0</v>
      </c>
      <c r="CL16" s="69" t="s">
        <v>8</v>
      </c>
      <c r="CM16" s="25" t="s">
        <v>8</v>
      </c>
      <c r="CN16" s="30">
        <f t="shared" si="76"/>
        <v>0.65090784926215628</v>
      </c>
      <c r="CO16" s="28">
        <f t="shared" si="77"/>
        <v>1.921249566625427E-2</v>
      </c>
      <c r="CP16" s="46">
        <f t="shared" si="78"/>
        <v>149302.13247500389</v>
      </c>
      <c r="CQ16" s="113">
        <f t="shared" si="79"/>
        <v>0</v>
      </c>
      <c r="CR16" s="69" t="s">
        <v>8</v>
      </c>
      <c r="CS16" s="25" t="s">
        <v>8</v>
      </c>
      <c r="CT16" s="30">
        <f t="shared" si="80"/>
        <v>0.65090784926215628</v>
      </c>
      <c r="CU16" s="28">
        <f t="shared" si="81"/>
        <v>1.921249566625427E-2</v>
      </c>
      <c r="CV16" s="46">
        <f t="shared" si="82"/>
        <v>149302.13247500389</v>
      </c>
      <c r="CW16" s="113">
        <f t="shared" si="83"/>
        <v>0</v>
      </c>
      <c r="CX16" s="69" t="s">
        <v>8</v>
      </c>
      <c r="CY16" s="25" t="s">
        <v>8</v>
      </c>
      <c r="CZ16" s="30">
        <f t="shared" si="84"/>
        <v>0.65090784926215628</v>
      </c>
      <c r="DA16" s="28">
        <f t="shared" si="85"/>
        <v>1.921249566625427E-2</v>
      </c>
      <c r="DB16" s="46">
        <f t="shared" si="86"/>
        <v>149302.13247500389</v>
      </c>
      <c r="DC16" s="113">
        <f t="shared" si="87"/>
        <v>0</v>
      </c>
      <c r="DD16" s="69" t="s">
        <v>8</v>
      </c>
      <c r="DE16" s="25" t="s">
        <v>8</v>
      </c>
      <c r="DF16" s="30">
        <f t="shared" si="88"/>
        <v>0.65090784926215628</v>
      </c>
      <c r="DG16" s="28">
        <f t="shared" si="89"/>
        <v>1.921249566625427E-2</v>
      </c>
      <c r="DH16" s="46">
        <f t="shared" si="90"/>
        <v>149302.13247500389</v>
      </c>
      <c r="DI16" s="113">
        <f t="shared" si="91"/>
        <v>0</v>
      </c>
      <c r="DJ16" s="69" t="s">
        <v>8</v>
      </c>
      <c r="DK16" s="25" t="s">
        <v>8</v>
      </c>
      <c r="DL16" s="30">
        <f t="shared" si="92"/>
        <v>0.65090784926215628</v>
      </c>
      <c r="DM16" s="28">
        <f t="shared" si="93"/>
        <v>1.921249566625427E-2</v>
      </c>
      <c r="DN16" s="46">
        <f t="shared" si="94"/>
        <v>149302.13247500389</v>
      </c>
      <c r="DO16" s="113">
        <f t="shared" si="95"/>
        <v>0</v>
      </c>
      <c r="DP16" s="69" t="s">
        <v>8</v>
      </c>
      <c r="DQ16" s="25" t="s">
        <v>8</v>
      </c>
      <c r="DR16" s="30">
        <f t="shared" si="96"/>
        <v>0.65090784926215628</v>
      </c>
      <c r="DS16" s="28">
        <f t="shared" si="97"/>
        <v>1.921249566625427E-2</v>
      </c>
      <c r="DT16" s="46">
        <f t="shared" si="98"/>
        <v>149302.13247500389</v>
      </c>
      <c r="DU16" s="113">
        <f t="shared" si="99"/>
        <v>0</v>
      </c>
      <c r="DV16" s="69" t="s">
        <v>8</v>
      </c>
      <c r="DW16" s="25" t="s">
        <v>8</v>
      </c>
      <c r="DX16" s="30">
        <f t="shared" si="100"/>
        <v>0.65090784926215628</v>
      </c>
      <c r="DY16" s="28">
        <f t="shared" si="101"/>
        <v>1.921249566625427E-2</v>
      </c>
      <c r="DZ16" s="29">
        <f t="shared" si="102"/>
        <v>149302.13247500389</v>
      </c>
      <c r="EA16" s="73">
        <f t="shared" si="103"/>
        <v>0</v>
      </c>
      <c r="EB16" s="69" t="s">
        <v>8</v>
      </c>
      <c r="EC16" s="25" t="s">
        <v>8</v>
      </c>
      <c r="ED16" s="30">
        <f t="shared" si="104"/>
        <v>0.65090784926215628</v>
      </c>
      <c r="EE16" s="28">
        <f t="shared" si="105"/>
        <v>1.921249566625427E-2</v>
      </c>
      <c r="EF16" s="29">
        <f t="shared" si="106"/>
        <v>149302.13247500389</v>
      </c>
      <c r="EG16" s="73">
        <f t="shared" si="107"/>
        <v>0</v>
      </c>
      <c r="EH16" s="69" t="s">
        <v>8</v>
      </c>
      <c r="EI16" s="25" t="s">
        <v>8</v>
      </c>
      <c r="EJ16" s="30">
        <f t="shared" si="108"/>
        <v>0.65090784926215628</v>
      </c>
      <c r="EK16" s="28">
        <f t="shared" si="109"/>
        <v>1.921249566625427E-2</v>
      </c>
      <c r="EL16" s="29">
        <f t="shared" si="110"/>
        <v>149302.13247500389</v>
      </c>
      <c r="EM16" s="73">
        <f t="shared" si="111"/>
        <v>0</v>
      </c>
      <c r="EN16" s="69" t="s">
        <v>8</v>
      </c>
      <c r="EO16" s="25" t="s">
        <v>8</v>
      </c>
      <c r="EP16" s="30">
        <f t="shared" si="112"/>
        <v>0.65090784926215628</v>
      </c>
      <c r="EQ16" s="28">
        <f t="shared" si="113"/>
        <v>1.921249566625427E-2</v>
      </c>
      <c r="ER16" s="29">
        <f t="shared" si="114"/>
        <v>149302.13247500389</v>
      </c>
      <c r="ES16" s="73">
        <f t="shared" si="115"/>
        <v>0</v>
      </c>
      <c r="ET16" s="69" t="s">
        <v>8</v>
      </c>
      <c r="EU16" s="25" t="s">
        <v>8</v>
      </c>
      <c r="EV16" s="30">
        <f t="shared" si="116"/>
        <v>0.65090784926215628</v>
      </c>
      <c r="EW16" s="28">
        <f t="shared" si="117"/>
        <v>1.921249566625427E-2</v>
      </c>
      <c r="EX16" s="29">
        <f t="shared" si="118"/>
        <v>149302.13247500389</v>
      </c>
      <c r="EY16" s="73">
        <f t="shared" si="119"/>
        <v>0</v>
      </c>
      <c r="EZ16" s="69" t="s">
        <v>8</v>
      </c>
      <c r="FA16" s="25" t="s">
        <v>8</v>
      </c>
      <c r="FB16" s="30">
        <f t="shared" si="120"/>
        <v>0.65090784926215628</v>
      </c>
      <c r="FC16" s="28">
        <f t="shared" si="121"/>
        <v>1.921249566625427E-2</v>
      </c>
      <c r="FD16" s="29">
        <f t="shared" si="122"/>
        <v>149302.13247500389</v>
      </c>
      <c r="FE16" s="73">
        <f t="shared" si="123"/>
        <v>0</v>
      </c>
      <c r="FF16" s="69" t="s">
        <v>8</v>
      </c>
      <c r="FG16" s="25" t="s">
        <v>8</v>
      </c>
      <c r="FH16" s="30">
        <f t="shared" si="124"/>
        <v>0.65090784926215628</v>
      </c>
      <c r="FI16" s="28">
        <f t="shared" si="125"/>
        <v>1.921249566625427E-2</v>
      </c>
      <c r="FJ16" s="29">
        <f t="shared" si="126"/>
        <v>149302.13247500389</v>
      </c>
      <c r="FK16" s="73">
        <f t="shared" si="127"/>
        <v>0</v>
      </c>
      <c r="FL16" s="69" t="s">
        <v>8</v>
      </c>
      <c r="FM16" s="25" t="s">
        <v>8</v>
      </c>
      <c r="FN16" s="30">
        <f t="shared" si="128"/>
        <v>0.65090784926215628</v>
      </c>
      <c r="FO16" s="28">
        <f t="shared" si="129"/>
        <v>1.921249566625427E-2</v>
      </c>
      <c r="FP16" s="29">
        <f t="shared" si="130"/>
        <v>149302.13247500389</v>
      </c>
      <c r="FQ16" s="73">
        <f t="shared" si="131"/>
        <v>0</v>
      </c>
      <c r="FR16" s="69" t="s">
        <v>8</v>
      </c>
      <c r="FS16" s="25" t="s">
        <v>8</v>
      </c>
      <c r="FT16" s="30">
        <f t="shared" si="132"/>
        <v>0.65090784926215628</v>
      </c>
      <c r="FU16" s="28">
        <f t="shared" si="133"/>
        <v>1.921249566625427E-2</v>
      </c>
      <c r="FV16" s="29">
        <f t="shared" si="134"/>
        <v>149302.13247500389</v>
      </c>
      <c r="FW16" s="73">
        <f t="shared" si="135"/>
        <v>0</v>
      </c>
      <c r="FX16" s="69" t="s">
        <v>8</v>
      </c>
      <c r="FY16" s="25" t="s">
        <v>8</v>
      </c>
      <c r="FZ16" s="30">
        <f t="shared" si="136"/>
        <v>0.65090784926215628</v>
      </c>
      <c r="GA16" s="28">
        <f t="shared" si="137"/>
        <v>1.921249566625427E-2</v>
      </c>
      <c r="GB16" s="29">
        <f t="shared" si="138"/>
        <v>149302.13247500389</v>
      </c>
      <c r="GC16" s="73">
        <f t="shared" si="139"/>
        <v>0</v>
      </c>
      <c r="GD16" s="69" t="s">
        <v>8</v>
      </c>
      <c r="GE16" s="25" t="s">
        <v>8</v>
      </c>
      <c r="GF16" s="30">
        <f t="shared" si="140"/>
        <v>0.65090784926215628</v>
      </c>
      <c r="GG16" s="28">
        <f t="shared" si="141"/>
        <v>1.921249566625427E-2</v>
      </c>
      <c r="GH16" s="29">
        <f t="shared" si="142"/>
        <v>149302.13247500389</v>
      </c>
      <c r="GI16" s="113">
        <f t="shared" si="143"/>
        <v>0</v>
      </c>
      <c r="GJ16" s="142">
        <f t="shared" si="146"/>
        <v>2066404.4748100215</v>
      </c>
      <c r="GK16" s="238">
        <f t="shared" si="144"/>
        <v>2115904.7760761091</v>
      </c>
      <c r="GL16" s="196">
        <f t="shared" si="145"/>
        <v>0.65090784926215628</v>
      </c>
      <c r="GM16" s="86">
        <v>2115904.7799999998</v>
      </c>
      <c r="GN16" s="244"/>
    </row>
    <row r="17" spans="1:196" s="20" customFormat="1" ht="16.5" customHeight="1" x14ac:dyDescent="0.25">
      <c r="A17" s="159" t="s">
        <v>180</v>
      </c>
      <c r="B17" s="130" t="s">
        <v>8</v>
      </c>
      <c r="C17" s="130" t="s">
        <v>8</v>
      </c>
      <c r="D17" s="130" t="s">
        <v>8</v>
      </c>
      <c r="E17" s="130" t="s">
        <v>8</v>
      </c>
      <c r="F17" s="130" t="s">
        <v>8</v>
      </c>
      <c r="G17" s="95">
        <f>'Исходные данные'!C19</f>
        <v>497</v>
      </c>
      <c r="H17" s="42">
        <f>'Исходные данные'!F19</f>
        <v>902992</v>
      </c>
      <c r="I17" s="27">
        <f>'Расчет КРП'!G15</f>
        <v>4.2943000806133407</v>
      </c>
      <c r="J17" s="102" t="s">
        <v>8</v>
      </c>
      <c r="K17" s="106">
        <f t="shared" si="22"/>
        <v>0.22363515015022548</v>
      </c>
      <c r="L17" s="70">
        <f t="shared" si="23"/>
        <v>44247.571455477657</v>
      </c>
      <c r="M17" s="66">
        <f t="shared" si="24"/>
        <v>0.23459351111713173</v>
      </c>
      <c r="N17" s="25" t="s">
        <v>8</v>
      </c>
      <c r="O17" s="28">
        <f t="shared" si="25"/>
        <v>3.679483676689449E-2</v>
      </c>
      <c r="P17" s="29">
        <f t="shared" si="26"/>
        <v>155561.33469951901</v>
      </c>
      <c r="Q17" s="73">
        <f t="shared" si="27"/>
        <v>155561.33469951901</v>
      </c>
      <c r="R17" s="135" t="s">
        <v>8</v>
      </c>
      <c r="S17" s="25" t="s">
        <v>8</v>
      </c>
      <c r="T17" s="30">
        <f t="shared" si="28"/>
        <v>0.27311985735618632</v>
      </c>
      <c r="U17" s="28">
        <f t="shared" si="29"/>
        <v>7.2623967752362628E-2</v>
      </c>
      <c r="V17" s="46">
        <f t="shared" si="30"/>
        <v>351359.67764564289</v>
      </c>
      <c r="W17" s="73">
        <f t="shared" si="31"/>
        <v>351359.67764564289</v>
      </c>
      <c r="X17" s="69" t="s">
        <v>8</v>
      </c>
      <c r="Y17" s="25" t="s">
        <v>8</v>
      </c>
      <c r="Z17" s="30">
        <f t="shared" si="32"/>
        <v>0.36013765404432768</v>
      </c>
      <c r="AA17" s="28">
        <f t="shared" si="33"/>
        <v>4.9713859816045425E-2</v>
      </c>
      <c r="AB17" s="46">
        <f t="shared" si="34"/>
        <v>266572.96289067116</v>
      </c>
      <c r="AC17" s="73">
        <f t="shared" si="35"/>
        <v>266572.96289067116</v>
      </c>
      <c r="AD17" s="69" t="s">
        <v>8</v>
      </c>
      <c r="AE17" s="25" t="s">
        <v>8</v>
      </c>
      <c r="AF17" s="30">
        <f t="shared" si="36"/>
        <v>0.42615715873766463</v>
      </c>
      <c r="AG17" s="28">
        <f t="shared" si="37"/>
        <v>4.055737306095375E-2</v>
      </c>
      <c r="AH17" s="46">
        <f t="shared" si="38"/>
        <v>236490.10471917811</v>
      </c>
      <c r="AI17" s="73">
        <f t="shared" si="39"/>
        <v>236490.10471917811</v>
      </c>
      <c r="AJ17" s="69" t="s">
        <v>8</v>
      </c>
      <c r="AK17" s="25" t="s">
        <v>8</v>
      </c>
      <c r="AL17" s="30">
        <f t="shared" si="40"/>
        <v>0.48472633773140539</v>
      </c>
      <c r="AM17" s="28">
        <f t="shared" si="41"/>
        <v>3.3174252502764179E-2</v>
      </c>
      <c r="AN17" s="46">
        <f t="shared" si="42"/>
        <v>207467.97190222138</v>
      </c>
      <c r="AO17" s="73">
        <f t="shared" si="43"/>
        <v>207467.97190222138</v>
      </c>
      <c r="AP17" s="69" t="s">
        <v>8</v>
      </c>
      <c r="AQ17" s="25" t="s">
        <v>8</v>
      </c>
      <c r="AR17" s="30">
        <f t="shared" si="44"/>
        <v>0.53610789044473617</v>
      </c>
      <c r="AS17" s="28">
        <f t="shared" si="45"/>
        <v>2.7882173382375863E-2</v>
      </c>
      <c r="AT17" s="46">
        <f t="shared" si="46"/>
        <v>185003.45273722775</v>
      </c>
      <c r="AU17" s="73">
        <f t="shared" si="47"/>
        <v>185003.45273722775</v>
      </c>
      <c r="AV17" s="69" t="s">
        <v>8</v>
      </c>
      <c r="AW17" s="25" t="s">
        <v>8</v>
      </c>
      <c r="AX17" s="30">
        <f t="shared" si="48"/>
        <v>0.58192587657440287</v>
      </c>
      <c r="AY17" s="28">
        <f t="shared" si="49"/>
        <v>2.2548476736132916E-2</v>
      </c>
      <c r="AZ17" s="46">
        <f t="shared" si="50"/>
        <v>157159.55688394068</v>
      </c>
      <c r="BA17" s="73">
        <f t="shared" si="51"/>
        <v>157159.55688394068</v>
      </c>
      <c r="BB17" s="69" t="s">
        <v>8</v>
      </c>
      <c r="BC17" s="25" t="s">
        <v>8</v>
      </c>
      <c r="BD17" s="30">
        <f t="shared" si="52"/>
        <v>0.62084803878767048</v>
      </c>
      <c r="BE17" s="28">
        <f t="shared" si="53"/>
        <v>2.1556231672054449E-2</v>
      </c>
      <c r="BF17" s="46">
        <f t="shared" si="54"/>
        <v>162235.91164622255</v>
      </c>
      <c r="BG17" s="73">
        <f t="shared" si="55"/>
        <v>121430.72296509052</v>
      </c>
      <c r="BH17" s="69" t="s">
        <v>8</v>
      </c>
      <c r="BI17" s="25" t="s">
        <v>8</v>
      </c>
      <c r="BJ17" s="30">
        <f t="shared" si="56"/>
        <v>0.65092159200093103</v>
      </c>
      <c r="BK17" s="28">
        <f t="shared" si="57"/>
        <v>1.9198752927479523E-2</v>
      </c>
      <c r="BL17" s="46">
        <f t="shared" si="58"/>
        <v>150480.55516609305</v>
      </c>
      <c r="BM17" s="73">
        <f t="shared" si="59"/>
        <v>0</v>
      </c>
      <c r="BN17" s="69" t="s">
        <v>8</v>
      </c>
      <c r="BO17" s="25" t="s">
        <v>8</v>
      </c>
      <c r="BP17" s="30">
        <f t="shared" si="60"/>
        <v>0.65092159200093103</v>
      </c>
      <c r="BQ17" s="28">
        <f t="shared" si="61"/>
        <v>1.9198752927479523E-2</v>
      </c>
      <c r="BR17" s="46">
        <f t="shared" si="62"/>
        <v>150480.55516609305</v>
      </c>
      <c r="BS17" s="113">
        <f t="shared" si="63"/>
        <v>0</v>
      </c>
      <c r="BT17" s="69" t="s">
        <v>8</v>
      </c>
      <c r="BU17" s="25" t="s">
        <v>8</v>
      </c>
      <c r="BV17" s="30">
        <f t="shared" si="64"/>
        <v>0.65092159200093103</v>
      </c>
      <c r="BW17" s="28">
        <f t="shared" si="65"/>
        <v>1.9198752927479523E-2</v>
      </c>
      <c r="BX17" s="46">
        <f t="shared" si="66"/>
        <v>150480.55516609305</v>
      </c>
      <c r="BY17" s="113">
        <f t="shared" si="67"/>
        <v>0</v>
      </c>
      <c r="BZ17" s="69" t="s">
        <v>8</v>
      </c>
      <c r="CA17" s="25" t="s">
        <v>8</v>
      </c>
      <c r="CB17" s="30">
        <f t="shared" si="68"/>
        <v>0.65092159200093103</v>
      </c>
      <c r="CC17" s="28">
        <f t="shared" si="69"/>
        <v>1.9198752927479523E-2</v>
      </c>
      <c r="CD17" s="46">
        <f t="shared" si="70"/>
        <v>150480.55516609305</v>
      </c>
      <c r="CE17" s="113">
        <f t="shared" si="71"/>
        <v>0</v>
      </c>
      <c r="CF17" s="69" t="s">
        <v>8</v>
      </c>
      <c r="CG17" s="25" t="s">
        <v>8</v>
      </c>
      <c r="CH17" s="30">
        <f t="shared" si="72"/>
        <v>0.65092159200093103</v>
      </c>
      <c r="CI17" s="28">
        <f t="shared" si="73"/>
        <v>1.9198752927479523E-2</v>
      </c>
      <c r="CJ17" s="46">
        <f t="shared" si="74"/>
        <v>150480.55516609305</v>
      </c>
      <c r="CK17" s="113">
        <f t="shared" si="75"/>
        <v>0</v>
      </c>
      <c r="CL17" s="69" t="s">
        <v>8</v>
      </c>
      <c r="CM17" s="25" t="s">
        <v>8</v>
      </c>
      <c r="CN17" s="30">
        <f t="shared" si="76"/>
        <v>0.65092159200093103</v>
      </c>
      <c r="CO17" s="28">
        <f t="shared" si="77"/>
        <v>1.9198752927479523E-2</v>
      </c>
      <c r="CP17" s="46">
        <f t="shared" si="78"/>
        <v>150480.55516609305</v>
      </c>
      <c r="CQ17" s="113">
        <f t="shared" si="79"/>
        <v>0</v>
      </c>
      <c r="CR17" s="69" t="s">
        <v>8</v>
      </c>
      <c r="CS17" s="25" t="s">
        <v>8</v>
      </c>
      <c r="CT17" s="30">
        <f t="shared" si="80"/>
        <v>0.65092159200093103</v>
      </c>
      <c r="CU17" s="28">
        <f t="shared" si="81"/>
        <v>1.9198752927479523E-2</v>
      </c>
      <c r="CV17" s="46">
        <f t="shared" si="82"/>
        <v>150480.55516609305</v>
      </c>
      <c r="CW17" s="113">
        <f t="shared" si="83"/>
        <v>0</v>
      </c>
      <c r="CX17" s="69" t="s">
        <v>8</v>
      </c>
      <c r="CY17" s="25" t="s">
        <v>8</v>
      </c>
      <c r="CZ17" s="30">
        <f t="shared" si="84"/>
        <v>0.65092159200093103</v>
      </c>
      <c r="DA17" s="28">
        <f t="shared" si="85"/>
        <v>1.9198752927479523E-2</v>
      </c>
      <c r="DB17" s="46">
        <f t="shared" si="86"/>
        <v>150480.55516609305</v>
      </c>
      <c r="DC17" s="113">
        <f t="shared" si="87"/>
        <v>0</v>
      </c>
      <c r="DD17" s="69" t="s">
        <v>8</v>
      </c>
      <c r="DE17" s="25" t="s">
        <v>8</v>
      </c>
      <c r="DF17" s="30">
        <f t="shared" si="88"/>
        <v>0.65092159200093103</v>
      </c>
      <c r="DG17" s="28">
        <f t="shared" si="89"/>
        <v>1.9198752927479523E-2</v>
      </c>
      <c r="DH17" s="46">
        <f t="shared" si="90"/>
        <v>150480.55516609305</v>
      </c>
      <c r="DI17" s="113">
        <f t="shared" si="91"/>
        <v>0</v>
      </c>
      <c r="DJ17" s="69" t="s">
        <v>8</v>
      </c>
      <c r="DK17" s="25" t="s">
        <v>8</v>
      </c>
      <c r="DL17" s="30">
        <f t="shared" si="92"/>
        <v>0.65092159200093103</v>
      </c>
      <c r="DM17" s="28">
        <f t="shared" si="93"/>
        <v>1.9198752927479523E-2</v>
      </c>
      <c r="DN17" s="46">
        <f t="shared" si="94"/>
        <v>150480.55516609305</v>
      </c>
      <c r="DO17" s="113">
        <f t="shared" si="95"/>
        <v>0</v>
      </c>
      <c r="DP17" s="69" t="s">
        <v>8</v>
      </c>
      <c r="DQ17" s="25" t="s">
        <v>8</v>
      </c>
      <c r="DR17" s="30">
        <f t="shared" si="96"/>
        <v>0.65092159200093103</v>
      </c>
      <c r="DS17" s="28">
        <f t="shared" si="97"/>
        <v>1.9198752927479523E-2</v>
      </c>
      <c r="DT17" s="46">
        <f t="shared" si="98"/>
        <v>150480.55516609305</v>
      </c>
      <c r="DU17" s="113">
        <f t="shared" si="99"/>
        <v>0</v>
      </c>
      <c r="DV17" s="69" t="s">
        <v>8</v>
      </c>
      <c r="DW17" s="25" t="s">
        <v>8</v>
      </c>
      <c r="DX17" s="30">
        <f t="shared" si="100"/>
        <v>0.65092159200093103</v>
      </c>
      <c r="DY17" s="28">
        <f t="shared" si="101"/>
        <v>1.9198752927479523E-2</v>
      </c>
      <c r="DZ17" s="29">
        <f t="shared" si="102"/>
        <v>150480.55516609305</v>
      </c>
      <c r="EA17" s="73">
        <f t="shared" si="103"/>
        <v>0</v>
      </c>
      <c r="EB17" s="69" t="s">
        <v>8</v>
      </c>
      <c r="EC17" s="25" t="s">
        <v>8</v>
      </c>
      <c r="ED17" s="30">
        <f t="shared" si="104"/>
        <v>0.65092159200093103</v>
      </c>
      <c r="EE17" s="28">
        <f t="shared" si="105"/>
        <v>1.9198752927479523E-2</v>
      </c>
      <c r="EF17" s="29">
        <f t="shared" si="106"/>
        <v>150480.55516609305</v>
      </c>
      <c r="EG17" s="73">
        <f t="shared" si="107"/>
        <v>0</v>
      </c>
      <c r="EH17" s="69" t="s">
        <v>8</v>
      </c>
      <c r="EI17" s="25" t="s">
        <v>8</v>
      </c>
      <c r="EJ17" s="30">
        <f t="shared" si="108"/>
        <v>0.65092159200093103</v>
      </c>
      <c r="EK17" s="28">
        <f t="shared" si="109"/>
        <v>1.9198752927479523E-2</v>
      </c>
      <c r="EL17" s="29">
        <f t="shared" si="110"/>
        <v>150480.55516609305</v>
      </c>
      <c r="EM17" s="73">
        <f t="shared" si="111"/>
        <v>0</v>
      </c>
      <c r="EN17" s="69" t="s">
        <v>8</v>
      </c>
      <c r="EO17" s="25" t="s">
        <v>8</v>
      </c>
      <c r="EP17" s="30">
        <f t="shared" si="112"/>
        <v>0.65092159200093103</v>
      </c>
      <c r="EQ17" s="28">
        <f t="shared" si="113"/>
        <v>1.9198752927479523E-2</v>
      </c>
      <c r="ER17" s="29">
        <f t="shared" si="114"/>
        <v>150480.55516609305</v>
      </c>
      <c r="ES17" s="73">
        <f t="shared" si="115"/>
        <v>0</v>
      </c>
      <c r="ET17" s="69" t="s">
        <v>8</v>
      </c>
      <c r="EU17" s="25" t="s">
        <v>8</v>
      </c>
      <c r="EV17" s="30">
        <f t="shared" si="116"/>
        <v>0.65092159200093103</v>
      </c>
      <c r="EW17" s="28">
        <f t="shared" si="117"/>
        <v>1.9198752927479523E-2</v>
      </c>
      <c r="EX17" s="29">
        <f t="shared" si="118"/>
        <v>150480.55516609305</v>
      </c>
      <c r="EY17" s="73">
        <f t="shared" si="119"/>
        <v>0</v>
      </c>
      <c r="EZ17" s="69" t="s">
        <v>8</v>
      </c>
      <c r="FA17" s="25" t="s">
        <v>8</v>
      </c>
      <c r="FB17" s="30">
        <f t="shared" si="120"/>
        <v>0.65092159200093103</v>
      </c>
      <c r="FC17" s="28">
        <f t="shared" si="121"/>
        <v>1.9198752927479523E-2</v>
      </c>
      <c r="FD17" s="29">
        <f t="shared" si="122"/>
        <v>150480.55516609305</v>
      </c>
      <c r="FE17" s="73">
        <f t="shared" si="123"/>
        <v>0</v>
      </c>
      <c r="FF17" s="69" t="s">
        <v>8</v>
      </c>
      <c r="FG17" s="25" t="s">
        <v>8</v>
      </c>
      <c r="FH17" s="30">
        <f t="shared" si="124"/>
        <v>0.65092159200093103</v>
      </c>
      <c r="FI17" s="28">
        <f t="shared" si="125"/>
        <v>1.9198752927479523E-2</v>
      </c>
      <c r="FJ17" s="29">
        <f t="shared" si="126"/>
        <v>150480.55516609305</v>
      </c>
      <c r="FK17" s="73">
        <f t="shared" si="127"/>
        <v>0</v>
      </c>
      <c r="FL17" s="69" t="s">
        <v>8</v>
      </c>
      <c r="FM17" s="25" t="s">
        <v>8</v>
      </c>
      <c r="FN17" s="30">
        <f t="shared" si="128"/>
        <v>0.65092159200093103</v>
      </c>
      <c r="FO17" s="28">
        <f t="shared" si="129"/>
        <v>1.9198752927479523E-2</v>
      </c>
      <c r="FP17" s="29">
        <f t="shared" si="130"/>
        <v>150480.55516609305</v>
      </c>
      <c r="FQ17" s="73">
        <f t="shared" si="131"/>
        <v>0</v>
      </c>
      <c r="FR17" s="69" t="s">
        <v>8</v>
      </c>
      <c r="FS17" s="25" t="s">
        <v>8</v>
      </c>
      <c r="FT17" s="30">
        <f t="shared" si="132"/>
        <v>0.65092159200093103</v>
      </c>
      <c r="FU17" s="28">
        <f t="shared" si="133"/>
        <v>1.9198752927479523E-2</v>
      </c>
      <c r="FV17" s="29">
        <f t="shared" si="134"/>
        <v>150480.55516609305</v>
      </c>
      <c r="FW17" s="73">
        <f t="shared" si="135"/>
        <v>0</v>
      </c>
      <c r="FX17" s="69" t="s">
        <v>8</v>
      </c>
      <c r="FY17" s="25" t="s">
        <v>8</v>
      </c>
      <c r="FZ17" s="30">
        <f t="shared" si="136"/>
        <v>0.65092159200093103</v>
      </c>
      <c r="GA17" s="28">
        <f t="shared" si="137"/>
        <v>1.9198752927479523E-2</v>
      </c>
      <c r="GB17" s="29">
        <f t="shared" si="138"/>
        <v>150480.55516609305</v>
      </c>
      <c r="GC17" s="73">
        <f t="shared" si="139"/>
        <v>0</v>
      </c>
      <c r="GD17" s="69" t="s">
        <v>8</v>
      </c>
      <c r="GE17" s="25" t="s">
        <v>8</v>
      </c>
      <c r="GF17" s="30">
        <f t="shared" si="140"/>
        <v>0.65092159200093103</v>
      </c>
      <c r="GG17" s="28">
        <f t="shared" si="141"/>
        <v>1.9198752927479523E-2</v>
      </c>
      <c r="GH17" s="29">
        <f t="shared" si="142"/>
        <v>150480.55516609305</v>
      </c>
      <c r="GI17" s="113">
        <f t="shared" si="143"/>
        <v>0</v>
      </c>
      <c r="GJ17" s="142">
        <f t="shared" si="146"/>
        <v>1681045.7844434916</v>
      </c>
      <c r="GK17" s="238">
        <f t="shared" si="144"/>
        <v>1725293.3558989693</v>
      </c>
      <c r="GL17" s="196">
        <f t="shared" si="145"/>
        <v>0.65092159200093114</v>
      </c>
      <c r="GM17" s="86">
        <v>1725293.36</v>
      </c>
      <c r="GN17" s="244"/>
    </row>
    <row r="18" spans="1:196" s="20" customFormat="1" x14ac:dyDescent="0.25">
      <c r="A18" s="159" t="s">
        <v>181</v>
      </c>
      <c r="B18" s="130" t="s">
        <v>8</v>
      </c>
      <c r="C18" s="130" t="s">
        <v>8</v>
      </c>
      <c r="D18" s="130" t="s">
        <v>8</v>
      </c>
      <c r="E18" s="130" t="s">
        <v>8</v>
      </c>
      <c r="F18" s="130" t="s">
        <v>8</v>
      </c>
      <c r="G18" s="95">
        <f>'Исходные данные'!C20</f>
        <v>348</v>
      </c>
      <c r="H18" s="42">
        <f>'Исходные данные'!F20</f>
        <v>401156</v>
      </c>
      <c r="I18" s="27">
        <f>'Расчет КРП'!G16</f>
        <v>4.3688951952977062</v>
      </c>
      <c r="J18" s="102" t="s">
        <v>8</v>
      </c>
      <c r="K18" s="106">
        <f t="shared" si="22"/>
        <v>0.13946568434432913</v>
      </c>
      <c r="L18" s="70">
        <f t="shared" si="23"/>
        <v>30982.20295071675</v>
      </c>
      <c r="M18" s="66">
        <f t="shared" si="24"/>
        <v>0.1502369407558414</v>
      </c>
      <c r="N18" s="25" t="s">
        <v>8</v>
      </c>
      <c r="O18" s="28">
        <f t="shared" si="25"/>
        <v>0.12115140712818481</v>
      </c>
      <c r="P18" s="29">
        <f t="shared" si="26"/>
        <v>364876.0312471299</v>
      </c>
      <c r="Q18" s="73">
        <f t="shared" si="27"/>
        <v>364876.0312471299</v>
      </c>
      <c r="R18" s="135" t="s">
        <v>8</v>
      </c>
      <c r="S18" s="25" t="s">
        <v>8</v>
      </c>
      <c r="T18" s="30">
        <f t="shared" si="28"/>
        <v>0.27708955021132448</v>
      </c>
      <c r="U18" s="28">
        <f t="shared" si="29"/>
        <v>6.8654274897224477E-2</v>
      </c>
      <c r="V18" s="46">
        <f t="shared" si="30"/>
        <v>236614.64688517456</v>
      </c>
      <c r="W18" s="73">
        <f t="shared" si="31"/>
        <v>236614.64688517456</v>
      </c>
      <c r="X18" s="69" t="s">
        <v>8</v>
      </c>
      <c r="Y18" s="25" t="s">
        <v>8</v>
      </c>
      <c r="Z18" s="30">
        <f t="shared" si="32"/>
        <v>0.35935087411956129</v>
      </c>
      <c r="AA18" s="28">
        <f t="shared" si="33"/>
        <v>5.0500639740811815E-2</v>
      </c>
      <c r="AB18" s="46">
        <f t="shared" si="34"/>
        <v>192902.38100509328</v>
      </c>
      <c r="AC18" s="73">
        <f t="shared" si="35"/>
        <v>192902.38100509328</v>
      </c>
      <c r="AD18" s="69" t="s">
        <v>8</v>
      </c>
      <c r="AE18" s="25" t="s">
        <v>8</v>
      </c>
      <c r="AF18" s="30">
        <f t="shared" si="36"/>
        <v>0.42641521462182436</v>
      </c>
      <c r="AG18" s="28">
        <f t="shared" si="37"/>
        <v>4.0299317176794025E-2</v>
      </c>
      <c r="AH18" s="46">
        <f t="shared" si="38"/>
        <v>167395.17522262252</v>
      </c>
      <c r="AI18" s="73">
        <f t="shared" si="39"/>
        <v>167395.17522262252</v>
      </c>
      <c r="AJ18" s="69" t="s">
        <v>8</v>
      </c>
      <c r="AK18" s="25" t="s">
        <v>8</v>
      </c>
      <c r="AL18" s="30">
        <f t="shared" si="40"/>
        <v>0.48461173335359448</v>
      </c>
      <c r="AM18" s="28">
        <f t="shared" si="41"/>
        <v>3.3288856880575091E-2</v>
      </c>
      <c r="AN18" s="46">
        <f t="shared" si="42"/>
        <v>148303.32573505118</v>
      </c>
      <c r="AO18" s="73">
        <f t="shared" si="43"/>
        <v>148303.32573505118</v>
      </c>
      <c r="AP18" s="69" t="s">
        <v>8</v>
      </c>
      <c r="AQ18" s="25" t="s">
        <v>8</v>
      </c>
      <c r="AR18" s="30">
        <f t="shared" si="44"/>
        <v>0.53617078971615373</v>
      </c>
      <c r="AS18" s="28">
        <f t="shared" si="45"/>
        <v>2.7819274110958303E-2</v>
      </c>
      <c r="AT18" s="46">
        <f t="shared" si="46"/>
        <v>131492.53458603923</v>
      </c>
      <c r="AU18" s="73">
        <f t="shared" si="47"/>
        <v>131492.53458603923</v>
      </c>
      <c r="AV18" s="69" t="s">
        <v>8</v>
      </c>
      <c r="AW18" s="25" t="s">
        <v>8</v>
      </c>
      <c r="AX18" s="30">
        <f t="shared" si="48"/>
        <v>0.5818854152538806</v>
      </c>
      <c r="AY18" s="28">
        <f t="shared" si="49"/>
        <v>2.2588938056655183E-2</v>
      </c>
      <c r="AZ18" s="46">
        <f t="shared" si="50"/>
        <v>112155.73721930447</v>
      </c>
      <c r="BA18" s="73">
        <f t="shared" si="51"/>
        <v>112155.73721930447</v>
      </c>
      <c r="BB18" s="69" t="s">
        <v>8</v>
      </c>
      <c r="BC18" s="25" t="s">
        <v>8</v>
      </c>
      <c r="BD18" s="30">
        <f t="shared" si="52"/>
        <v>0.62087741997132984</v>
      </c>
      <c r="BE18" s="28">
        <f t="shared" si="53"/>
        <v>2.1526850488395088E-2</v>
      </c>
      <c r="BF18" s="46">
        <f t="shared" si="54"/>
        <v>115413.5336816178</v>
      </c>
      <c r="BG18" s="73">
        <f t="shared" si="55"/>
        <v>86384.997579794406</v>
      </c>
      <c r="BH18" s="69" t="s">
        <v>8</v>
      </c>
      <c r="BI18" s="25" t="s">
        <v>8</v>
      </c>
      <c r="BJ18" s="30">
        <f t="shared" si="56"/>
        <v>0.65090998287590851</v>
      </c>
      <c r="BK18" s="28">
        <f t="shared" si="57"/>
        <v>1.9210362052502039E-2</v>
      </c>
      <c r="BL18" s="46">
        <f t="shared" si="58"/>
        <v>107261.78198681514</v>
      </c>
      <c r="BM18" s="73">
        <f t="shared" si="59"/>
        <v>0</v>
      </c>
      <c r="BN18" s="69" t="s">
        <v>8</v>
      </c>
      <c r="BO18" s="25" t="s">
        <v>8</v>
      </c>
      <c r="BP18" s="30">
        <f t="shared" si="60"/>
        <v>0.65090998287590851</v>
      </c>
      <c r="BQ18" s="28">
        <f t="shared" si="61"/>
        <v>1.9210362052502039E-2</v>
      </c>
      <c r="BR18" s="46">
        <f t="shared" si="62"/>
        <v>107261.78198681514</v>
      </c>
      <c r="BS18" s="113">
        <f t="shared" si="63"/>
        <v>0</v>
      </c>
      <c r="BT18" s="69" t="s">
        <v>8</v>
      </c>
      <c r="BU18" s="25" t="s">
        <v>8</v>
      </c>
      <c r="BV18" s="30">
        <f t="shared" si="64"/>
        <v>0.65090998287590851</v>
      </c>
      <c r="BW18" s="28">
        <f t="shared" si="65"/>
        <v>1.9210362052502039E-2</v>
      </c>
      <c r="BX18" s="46">
        <f t="shared" si="66"/>
        <v>107261.78198681514</v>
      </c>
      <c r="BY18" s="113">
        <f t="shared" si="67"/>
        <v>0</v>
      </c>
      <c r="BZ18" s="69" t="s">
        <v>8</v>
      </c>
      <c r="CA18" s="25" t="s">
        <v>8</v>
      </c>
      <c r="CB18" s="30">
        <f t="shared" si="68"/>
        <v>0.65090998287590851</v>
      </c>
      <c r="CC18" s="28">
        <f t="shared" si="69"/>
        <v>1.9210362052502039E-2</v>
      </c>
      <c r="CD18" s="46">
        <f t="shared" si="70"/>
        <v>107261.78198681514</v>
      </c>
      <c r="CE18" s="113">
        <f t="shared" si="71"/>
        <v>0</v>
      </c>
      <c r="CF18" s="69" t="s">
        <v>8</v>
      </c>
      <c r="CG18" s="25" t="s">
        <v>8</v>
      </c>
      <c r="CH18" s="30">
        <f t="shared" si="72"/>
        <v>0.65090998287590851</v>
      </c>
      <c r="CI18" s="28">
        <f t="shared" si="73"/>
        <v>1.9210362052502039E-2</v>
      </c>
      <c r="CJ18" s="46">
        <f t="shared" si="74"/>
        <v>107261.78198681514</v>
      </c>
      <c r="CK18" s="113">
        <f t="shared" si="75"/>
        <v>0</v>
      </c>
      <c r="CL18" s="69" t="s">
        <v>8</v>
      </c>
      <c r="CM18" s="25" t="s">
        <v>8</v>
      </c>
      <c r="CN18" s="30">
        <f t="shared" si="76"/>
        <v>0.65090998287590851</v>
      </c>
      <c r="CO18" s="28">
        <f t="shared" si="77"/>
        <v>1.9210362052502039E-2</v>
      </c>
      <c r="CP18" s="46">
        <f t="shared" si="78"/>
        <v>107261.78198681514</v>
      </c>
      <c r="CQ18" s="113">
        <f t="shared" si="79"/>
        <v>0</v>
      </c>
      <c r="CR18" s="69" t="s">
        <v>8</v>
      </c>
      <c r="CS18" s="25" t="s">
        <v>8</v>
      </c>
      <c r="CT18" s="30">
        <f t="shared" si="80"/>
        <v>0.65090998287590851</v>
      </c>
      <c r="CU18" s="28">
        <f t="shared" si="81"/>
        <v>1.9210362052502039E-2</v>
      </c>
      <c r="CV18" s="46">
        <f t="shared" si="82"/>
        <v>107261.78198681514</v>
      </c>
      <c r="CW18" s="113">
        <f t="shared" si="83"/>
        <v>0</v>
      </c>
      <c r="CX18" s="69" t="s">
        <v>8</v>
      </c>
      <c r="CY18" s="25" t="s">
        <v>8</v>
      </c>
      <c r="CZ18" s="30">
        <f t="shared" si="84"/>
        <v>0.65090998287590851</v>
      </c>
      <c r="DA18" s="28">
        <f t="shared" si="85"/>
        <v>1.9210362052502039E-2</v>
      </c>
      <c r="DB18" s="46">
        <f t="shared" si="86"/>
        <v>107261.78198681514</v>
      </c>
      <c r="DC18" s="113">
        <f t="shared" si="87"/>
        <v>0</v>
      </c>
      <c r="DD18" s="69" t="s">
        <v>8</v>
      </c>
      <c r="DE18" s="25" t="s">
        <v>8</v>
      </c>
      <c r="DF18" s="30">
        <f t="shared" si="88"/>
        <v>0.65090998287590851</v>
      </c>
      <c r="DG18" s="28">
        <f t="shared" si="89"/>
        <v>1.9210362052502039E-2</v>
      </c>
      <c r="DH18" s="46">
        <f t="shared" si="90"/>
        <v>107261.78198681514</v>
      </c>
      <c r="DI18" s="113">
        <f t="shared" si="91"/>
        <v>0</v>
      </c>
      <c r="DJ18" s="69" t="s">
        <v>8</v>
      </c>
      <c r="DK18" s="25" t="s">
        <v>8</v>
      </c>
      <c r="DL18" s="30">
        <f t="shared" si="92"/>
        <v>0.65090998287590851</v>
      </c>
      <c r="DM18" s="28">
        <f t="shared" si="93"/>
        <v>1.9210362052502039E-2</v>
      </c>
      <c r="DN18" s="46">
        <f t="shared" si="94"/>
        <v>107261.78198681514</v>
      </c>
      <c r="DO18" s="113">
        <f t="shared" si="95"/>
        <v>0</v>
      </c>
      <c r="DP18" s="69" t="s">
        <v>8</v>
      </c>
      <c r="DQ18" s="25" t="s">
        <v>8</v>
      </c>
      <c r="DR18" s="30">
        <f t="shared" si="96"/>
        <v>0.65090998287590851</v>
      </c>
      <c r="DS18" s="28">
        <f t="shared" si="97"/>
        <v>1.9210362052502039E-2</v>
      </c>
      <c r="DT18" s="46">
        <f t="shared" si="98"/>
        <v>107261.78198681514</v>
      </c>
      <c r="DU18" s="113">
        <f t="shared" si="99"/>
        <v>0</v>
      </c>
      <c r="DV18" s="69" t="s">
        <v>8</v>
      </c>
      <c r="DW18" s="25" t="s">
        <v>8</v>
      </c>
      <c r="DX18" s="30">
        <f t="shared" si="100"/>
        <v>0.65090998287590851</v>
      </c>
      <c r="DY18" s="28">
        <f t="shared" si="101"/>
        <v>1.9210362052502039E-2</v>
      </c>
      <c r="DZ18" s="29">
        <f t="shared" si="102"/>
        <v>107261.78198681514</v>
      </c>
      <c r="EA18" s="73">
        <f t="shared" si="103"/>
        <v>0</v>
      </c>
      <c r="EB18" s="69" t="s">
        <v>8</v>
      </c>
      <c r="EC18" s="25" t="s">
        <v>8</v>
      </c>
      <c r="ED18" s="30">
        <f t="shared" si="104"/>
        <v>0.65090998287590851</v>
      </c>
      <c r="EE18" s="28">
        <f t="shared" si="105"/>
        <v>1.9210362052502039E-2</v>
      </c>
      <c r="EF18" s="29">
        <f t="shared" si="106"/>
        <v>107261.78198681514</v>
      </c>
      <c r="EG18" s="73">
        <f t="shared" si="107"/>
        <v>0</v>
      </c>
      <c r="EH18" s="69" t="s">
        <v>8</v>
      </c>
      <c r="EI18" s="25" t="s">
        <v>8</v>
      </c>
      <c r="EJ18" s="30">
        <f t="shared" si="108"/>
        <v>0.65090998287590851</v>
      </c>
      <c r="EK18" s="28">
        <f t="shared" si="109"/>
        <v>1.9210362052502039E-2</v>
      </c>
      <c r="EL18" s="29">
        <f t="shared" si="110"/>
        <v>107261.78198681514</v>
      </c>
      <c r="EM18" s="73">
        <f t="shared" si="111"/>
        <v>0</v>
      </c>
      <c r="EN18" s="69" t="s">
        <v>8</v>
      </c>
      <c r="EO18" s="25" t="s">
        <v>8</v>
      </c>
      <c r="EP18" s="30">
        <f t="shared" si="112"/>
        <v>0.65090998287590851</v>
      </c>
      <c r="EQ18" s="28">
        <f t="shared" si="113"/>
        <v>1.9210362052502039E-2</v>
      </c>
      <c r="ER18" s="29">
        <f t="shared" si="114"/>
        <v>107261.78198681514</v>
      </c>
      <c r="ES18" s="73">
        <f t="shared" si="115"/>
        <v>0</v>
      </c>
      <c r="ET18" s="69" t="s">
        <v>8</v>
      </c>
      <c r="EU18" s="25" t="s">
        <v>8</v>
      </c>
      <c r="EV18" s="30">
        <f t="shared" si="116"/>
        <v>0.65090998287590851</v>
      </c>
      <c r="EW18" s="28">
        <f t="shared" si="117"/>
        <v>1.9210362052502039E-2</v>
      </c>
      <c r="EX18" s="29">
        <f t="shared" si="118"/>
        <v>107261.78198681514</v>
      </c>
      <c r="EY18" s="73">
        <f t="shared" si="119"/>
        <v>0</v>
      </c>
      <c r="EZ18" s="69" t="s">
        <v>8</v>
      </c>
      <c r="FA18" s="25" t="s">
        <v>8</v>
      </c>
      <c r="FB18" s="30">
        <f t="shared" si="120"/>
        <v>0.65090998287590851</v>
      </c>
      <c r="FC18" s="28">
        <f t="shared" si="121"/>
        <v>1.9210362052502039E-2</v>
      </c>
      <c r="FD18" s="29">
        <f t="shared" si="122"/>
        <v>107261.78198681514</v>
      </c>
      <c r="FE18" s="73">
        <f t="shared" si="123"/>
        <v>0</v>
      </c>
      <c r="FF18" s="69" t="s">
        <v>8</v>
      </c>
      <c r="FG18" s="25" t="s">
        <v>8</v>
      </c>
      <c r="FH18" s="30">
        <f t="shared" si="124"/>
        <v>0.65090998287590851</v>
      </c>
      <c r="FI18" s="28">
        <f t="shared" si="125"/>
        <v>1.9210362052502039E-2</v>
      </c>
      <c r="FJ18" s="29">
        <f t="shared" si="126"/>
        <v>107261.78198681514</v>
      </c>
      <c r="FK18" s="73">
        <f t="shared" si="127"/>
        <v>0</v>
      </c>
      <c r="FL18" s="69" t="s">
        <v>8</v>
      </c>
      <c r="FM18" s="25" t="s">
        <v>8</v>
      </c>
      <c r="FN18" s="30">
        <f t="shared" si="128"/>
        <v>0.65090998287590851</v>
      </c>
      <c r="FO18" s="28">
        <f t="shared" si="129"/>
        <v>1.9210362052502039E-2</v>
      </c>
      <c r="FP18" s="29">
        <f t="shared" si="130"/>
        <v>107261.78198681514</v>
      </c>
      <c r="FQ18" s="73">
        <f t="shared" si="131"/>
        <v>0</v>
      </c>
      <c r="FR18" s="69" t="s">
        <v>8</v>
      </c>
      <c r="FS18" s="25" t="s">
        <v>8</v>
      </c>
      <c r="FT18" s="30">
        <f t="shared" si="132"/>
        <v>0.65090998287590851</v>
      </c>
      <c r="FU18" s="28">
        <f t="shared" si="133"/>
        <v>1.9210362052502039E-2</v>
      </c>
      <c r="FV18" s="29">
        <f t="shared" si="134"/>
        <v>107261.78198681514</v>
      </c>
      <c r="FW18" s="73">
        <f t="shared" si="135"/>
        <v>0</v>
      </c>
      <c r="FX18" s="69" t="s">
        <v>8</v>
      </c>
      <c r="FY18" s="25" t="s">
        <v>8</v>
      </c>
      <c r="FZ18" s="30">
        <f t="shared" si="136"/>
        <v>0.65090998287590851</v>
      </c>
      <c r="GA18" s="28">
        <f t="shared" si="137"/>
        <v>1.9210362052502039E-2</v>
      </c>
      <c r="GB18" s="29">
        <f t="shared" si="138"/>
        <v>107261.78198681514</v>
      </c>
      <c r="GC18" s="73">
        <f t="shared" si="139"/>
        <v>0</v>
      </c>
      <c r="GD18" s="69" t="s">
        <v>8</v>
      </c>
      <c r="GE18" s="25" t="s">
        <v>8</v>
      </c>
      <c r="GF18" s="30">
        <f t="shared" si="140"/>
        <v>0.65090998287590851</v>
      </c>
      <c r="GG18" s="28">
        <f t="shared" si="141"/>
        <v>1.9210362052502039E-2</v>
      </c>
      <c r="GH18" s="29">
        <f t="shared" si="142"/>
        <v>107261.78198681514</v>
      </c>
      <c r="GI18" s="113">
        <f t="shared" si="143"/>
        <v>0</v>
      </c>
      <c r="GJ18" s="142">
        <f t="shared" si="146"/>
        <v>1440124.8294802094</v>
      </c>
      <c r="GK18" s="238">
        <f t="shared" si="144"/>
        <v>1471107.0324309261</v>
      </c>
      <c r="GL18" s="196">
        <f t="shared" si="145"/>
        <v>0.65090998287590862</v>
      </c>
      <c r="GM18" s="86">
        <v>1471107.03</v>
      </c>
      <c r="GN18" s="244"/>
    </row>
    <row r="19" spans="1:196" s="20" customFormat="1" ht="31.5" x14ac:dyDescent="0.25">
      <c r="A19" s="159" t="s">
        <v>182</v>
      </c>
      <c r="B19" s="130" t="s">
        <v>8</v>
      </c>
      <c r="C19" s="130" t="s">
        <v>8</v>
      </c>
      <c r="D19" s="130" t="s">
        <v>8</v>
      </c>
      <c r="E19" s="130" t="s">
        <v>8</v>
      </c>
      <c r="F19" s="130" t="s">
        <v>8</v>
      </c>
      <c r="G19" s="95">
        <f>'Исходные данные'!C21</f>
        <v>780</v>
      </c>
      <c r="H19" s="42">
        <f>'Исходные данные'!F21</f>
        <v>826205</v>
      </c>
      <c r="I19" s="27">
        <f>'Расчет КРП'!G17</f>
        <v>3.3925157462083706</v>
      </c>
      <c r="J19" s="102" t="s">
        <v>8</v>
      </c>
      <c r="K19" s="106">
        <f t="shared" si="22"/>
        <v>0.16503508631366604</v>
      </c>
      <c r="L19" s="70">
        <f t="shared" si="23"/>
        <v>69442.868682640998</v>
      </c>
      <c r="M19" s="66">
        <f t="shared" si="24"/>
        <v>0.17890635292051088</v>
      </c>
      <c r="N19" s="25" t="s">
        <v>8</v>
      </c>
      <c r="O19" s="28">
        <f t="shared" si="25"/>
        <v>9.2481994963515335E-2</v>
      </c>
      <c r="P19" s="29">
        <f t="shared" si="26"/>
        <v>484774.38770841563</v>
      </c>
      <c r="Q19" s="73">
        <f t="shared" si="27"/>
        <v>484774.38770841563</v>
      </c>
      <c r="R19" s="135" t="s">
        <v>8</v>
      </c>
      <c r="S19" s="25" t="s">
        <v>8</v>
      </c>
      <c r="T19" s="30">
        <f t="shared" si="28"/>
        <v>0.27574041095467067</v>
      </c>
      <c r="U19" s="28">
        <f t="shared" si="29"/>
        <v>7.0003414153878285E-2</v>
      </c>
      <c r="V19" s="46">
        <f t="shared" si="30"/>
        <v>419912.5609146686</v>
      </c>
      <c r="W19" s="73">
        <f t="shared" si="31"/>
        <v>419912.5609146686</v>
      </c>
      <c r="X19" s="69" t="s">
        <v>8</v>
      </c>
      <c r="Y19" s="25" t="s">
        <v>8</v>
      </c>
      <c r="Z19" s="30">
        <f t="shared" si="32"/>
        <v>0.35961826903437832</v>
      </c>
      <c r="AA19" s="28">
        <f t="shared" si="33"/>
        <v>5.0233244825994783E-2</v>
      </c>
      <c r="AB19" s="46">
        <f t="shared" si="34"/>
        <v>333962.37817108823</v>
      </c>
      <c r="AC19" s="73">
        <f t="shared" si="35"/>
        <v>333962.37817108823</v>
      </c>
      <c r="AD19" s="69" t="s">
        <v>8</v>
      </c>
      <c r="AE19" s="25" t="s">
        <v>8</v>
      </c>
      <c r="AF19" s="30">
        <f t="shared" si="36"/>
        <v>0.42632751178524858</v>
      </c>
      <c r="AG19" s="28">
        <f t="shared" si="37"/>
        <v>4.0387020013369801E-2</v>
      </c>
      <c r="AH19" s="46">
        <f t="shared" si="38"/>
        <v>291979.70303874149</v>
      </c>
      <c r="AI19" s="73">
        <f t="shared" si="39"/>
        <v>291979.70303874149</v>
      </c>
      <c r="AJ19" s="69" t="s">
        <v>8</v>
      </c>
      <c r="AK19" s="25" t="s">
        <v>8</v>
      </c>
      <c r="AL19" s="30">
        <f t="shared" si="40"/>
        <v>0.48465068278135398</v>
      </c>
      <c r="AM19" s="28">
        <f t="shared" si="41"/>
        <v>3.3249907452815586E-2</v>
      </c>
      <c r="AN19" s="46">
        <f t="shared" si="42"/>
        <v>257814.92389142254</v>
      </c>
      <c r="AO19" s="73">
        <f t="shared" si="43"/>
        <v>257814.92389142254</v>
      </c>
      <c r="AP19" s="69" t="s">
        <v>8</v>
      </c>
      <c r="AQ19" s="25" t="s">
        <v>8</v>
      </c>
      <c r="AR19" s="30">
        <f t="shared" si="44"/>
        <v>0.53614941277859696</v>
      </c>
      <c r="AS19" s="28">
        <f t="shared" si="45"/>
        <v>2.7840651048515075E-2</v>
      </c>
      <c r="AT19" s="46">
        <f t="shared" si="46"/>
        <v>229034.17728919288</v>
      </c>
      <c r="AU19" s="73">
        <f t="shared" si="47"/>
        <v>229034.17728919288</v>
      </c>
      <c r="AV19" s="69" t="s">
        <v>8</v>
      </c>
      <c r="AW19" s="25" t="s">
        <v>8</v>
      </c>
      <c r="AX19" s="30">
        <f t="shared" si="48"/>
        <v>0.58189916643259498</v>
      </c>
      <c r="AY19" s="28">
        <f t="shared" si="49"/>
        <v>2.25751868779408E-2</v>
      </c>
      <c r="AZ19" s="46">
        <f t="shared" si="50"/>
        <v>195084.44311157978</v>
      </c>
      <c r="BA19" s="73">
        <f t="shared" si="51"/>
        <v>195084.44311157978</v>
      </c>
      <c r="BB19" s="69" t="s">
        <v>8</v>
      </c>
      <c r="BC19" s="25" t="s">
        <v>8</v>
      </c>
      <c r="BD19" s="30">
        <f t="shared" si="52"/>
        <v>0.62086743448637471</v>
      </c>
      <c r="BE19" s="28">
        <f t="shared" si="53"/>
        <v>2.153683597335021E-2</v>
      </c>
      <c r="BF19" s="46">
        <f t="shared" si="54"/>
        <v>200966.53676812886</v>
      </c>
      <c r="BG19" s="73">
        <f t="shared" si="55"/>
        <v>150419.91383978847</v>
      </c>
      <c r="BH19" s="69" t="s">
        <v>8</v>
      </c>
      <c r="BI19" s="25" t="s">
        <v>8</v>
      </c>
      <c r="BJ19" s="30">
        <f t="shared" si="56"/>
        <v>0.65091392835150952</v>
      </c>
      <c r="BK19" s="28">
        <f t="shared" si="57"/>
        <v>1.9206416576901031E-2</v>
      </c>
      <c r="BL19" s="46">
        <f t="shared" si="58"/>
        <v>186647.16866710197</v>
      </c>
      <c r="BM19" s="73">
        <f t="shared" si="59"/>
        <v>0</v>
      </c>
      <c r="BN19" s="69" t="s">
        <v>8</v>
      </c>
      <c r="BO19" s="25" t="s">
        <v>8</v>
      </c>
      <c r="BP19" s="30">
        <f t="shared" si="60"/>
        <v>0.65091392835150952</v>
      </c>
      <c r="BQ19" s="28">
        <f t="shared" si="61"/>
        <v>1.9206416576901031E-2</v>
      </c>
      <c r="BR19" s="46">
        <f t="shared" si="62"/>
        <v>186647.16866710197</v>
      </c>
      <c r="BS19" s="113">
        <f t="shared" si="63"/>
        <v>0</v>
      </c>
      <c r="BT19" s="69" t="s">
        <v>8</v>
      </c>
      <c r="BU19" s="25" t="s">
        <v>8</v>
      </c>
      <c r="BV19" s="30">
        <f t="shared" si="64"/>
        <v>0.65091392835150952</v>
      </c>
      <c r="BW19" s="28">
        <f t="shared" si="65"/>
        <v>1.9206416576901031E-2</v>
      </c>
      <c r="BX19" s="46">
        <f t="shared" si="66"/>
        <v>186647.16866710197</v>
      </c>
      <c r="BY19" s="113">
        <f t="shared" si="67"/>
        <v>0</v>
      </c>
      <c r="BZ19" s="69" t="s">
        <v>8</v>
      </c>
      <c r="CA19" s="25" t="s">
        <v>8</v>
      </c>
      <c r="CB19" s="30">
        <f t="shared" si="68"/>
        <v>0.65091392835150952</v>
      </c>
      <c r="CC19" s="28">
        <f t="shared" si="69"/>
        <v>1.9206416576901031E-2</v>
      </c>
      <c r="CD19" s="46">
        <f t="shared" si="70"/>
        <v>186647.16866710197</v>
      </c>
      <c r="CE19" s="113">
        <f t="shared" si="71"/>
        <v>0</v>
      </c>
      <c r="CF19" s="69" t="s">
        <v>8</v>
      </c>
      <c r="CG19" s="25" t="s">
        <v>8</v>
      </c>
      <c r="CH19" s="30">
        <f t="shared" si="72"/>
        <v>0.65091392835150952</v>
      </c>
      <c r="CI19" s="28">
        <f t="shared" si="73"/>
        <v>1.9206416576901031E-2</v>
      </c>
      <c r="CJ19" s="46">
        <f t="shared" si="74"/>
        <v>186647.16866710197</v>
      </c>
      <c r="CK19" s="113">
        <f t="shared" si="75"/>
        <v>0</v>
      </c>
      <c r="CL19" s="69" t="s">
        <v>8</v>
      </c>
      <c r="CM19" s="25" t="s">
        <v>8</v>
      </c>
      <c r="CN19" s="30">
        <f t="shared" si="76"/>
        <v>0.65091392835150952</v>
      </c>
      <c r="CO19" s="28">
        <f t="shared" si="77"/>
        <v>1.9206416576901031E-2</v>
      </c>
      <c r="CP19" s="46">
        <f t="shared" si="78"/>
        <v>186647.16866710197</v>
      </c>
      <c r="CQ19" s="113">
        <f t="shared" si="79"/>
        <v>0</v>
      </c>
      <c r="CR19" s="69" t="s">
        <v>8</v>
      </c>
      <c r="CS19" s="25" t="s">
        <v>8</v>
      </c>
      <c r="CT19" s="30">
        <f t="shared" si="80"/>
        <v>0.65091392835150952</v>
      </c>
      <c r="CU19" s="28">
        <f t="shared" si="81"/>
        <v>1.9206416576901031E-2</v>
      </c>
      <c r="CV19" s="46">
        <f t="shared" si="82"/>
        <v>186647.16866710197</v>
      </c>
      <c r="CW19" s="113">
        <f t="shared" si="83"/>
        <v>0</v>
      </c>
      <c r="CX19" s="69" t="s">
        <v>8</v>
      </c>
      <c r="CY19" s="25" t="s">
        <v>8</v>
      </c>
      <c r="CZ19" s="30">
        <f t="shared" si="84"/>
        <v>0.65091392835150952</v>
      </c>
      <c r="DA19" s="28">
        <f t="shared" si="85"/>
        <v>1.9206416576901031E-2</v>
      </c>
      <c r="DB19" s="46">
        <f t="shared" si="86"/>
        <v>186647.16866710197</v>
      </c>
      <c r="DC19" s="113">
        <f t="shared" si="87"/>
        <v>0</v>
      </c>
      <c r="DD19" s="69" t="s">
        <v>8</v>
      </c>
      <c r="DE19" s="25" t="s">
        <v>8</v>
      </c>
      <c r="DF19" s="30">
        <f t="shared" si="88"/>
        <v>0.65091392835150952</v>
      </c>
      <c r="DG19" s="28">
        <f t="shared" si="89"/>
        <v>1.9206416576901031E-2</v>
      </c>
      <c r="DH19" s="46">
        <f t="shared" si="90"/>
        <v>186647.16866710197</v>
      </c>
      <c r="DI19" s="113">
        <f t="shared" si="91"/>
        <v>0</v>
      </c>
      <c r="DJ19" s="69" t="s">
        <v>8</v>
      </c>
      <c r="DK19" s="25" t="s">
        <v>8</v>
      </c>
      <c r="DL19" s="30">
        <f t="shared" si="92"/>
        <v>0.65091392835150952</v>
      </c>
      <c r="DM19" s="28">
        <f t="shared" si="93"/>
        <v>1.9206416576901031E-2</v>
      </c>
      <c r="DN19" s="46">
        <f t="shared" si="94"/>
        <v>186647.16866710197</v>
      </c>
      <c r="DO19" s="113">
        <f t="shared" si="95"/>
        <v>0</v>
      </c>
      <c r="DP19" s="69" t="s">
        <v>8</v>
      </c>
      <c r="DQ19" s="25" t="s">
        <v>8</v>
      </c>
      <c r="DR19" s="30">
        <f t="shared" si="96"/>
        <v>0.65091392835150952</v>
      </c>
      <c r="DS19" s="28">
        <f t="shared" si="97"/>
        <v>1.9206416576901031E-2</v>
      </c>
      <c r="DT19" s="46">
        <f t="shared" si="98"/>
        <v>186647.16866710197</v>
      </c>
      <c r="DU19" s="113">
        <f t="shared" si="99"/>
        <v>0</v>
      </c>
      <c r="DV19" s="69" t="s">
        <v>8</v>
      </c>
      <c r="DW19" s="25" t="s">
        <v>8</v>
      </c>
      <c r="DX19" s="30">
        <f t="shared" si="100"/>
        <v>0.65091392835150952</v>
      </c>
      <c r="DY19" s="28">
        <f t="shared" si="101"/>
        <v>1.9206416576901031E-2</v>
      </c>
      <c r="DZ19" s="29">
        <f t="shared" si="102"/>
        <v>186647.16866710197</v>
      </c>
      <c r="EA19" s="73">
        <f t="shared" si="103"/>
        <v>0</v>
      </c>
      <c r="EB19" s="69" t="s">
        <v>8</v>
      </c>
      <c r="EC19" s="25" t="s">
        <v>8</v>
      </c>
      <c r="ED19" s="30">
        <f t="shared" si="104"/>
        <v>0.65091392835150952</v>
      </c>
      <c r="EE19" s="28">
        <f t="shared" si="105"/>
        <v>1.9206416576901031E-2</v>
      </c>
      <c r="EF19" s="29">
        <f t="shared" si="106"/>
        <v>186647.16866710197</v>
      </c>
      <c r="EG19" s="73">
        <f t="shared" si="107"/>
        <v>0</v>
      </c>
      <c r="EH19" s="69" t="s">
        <v>8</v>
      </c>
      <c r="EI19" s="25" t="s">
        <v>8</v>
      </c>
      <c r="EJ19" s="30">
        <f t="shared" si="108"/>
        <v>0.65091392835150952</v>
      </c>
      <c r="EK19" s="28">
        <f t="shared" si="109"/>
        <v>1.9206416576901031E-2</v>
      </c>
      <c r="EL19" s="29">
        <f t="shared" si="110"/>
        <v>186647.16866710197</v>
      </c>
      <c r="EM19" s="73">
        <f t="shared" si="111"/>
        <v>0</v>
      </c>
      <c r="EN19" s="69" t="s">
        <v>8</v>
      </c>
      <c r="EO19" s="25" t="s">
        <v>8</v>
      </c>
      <c r="EP19" s="30">
        <f t="shared" si="112"/>
        <v>0.65091392835150952</v>
      </c>
      <c r="EQ19" s="28">
        <f t="shared" si="113"/>
        <v>1.9206416576901031E-2</v>
      </c>
      <c r="ER19" s="29">
        <f t="shared" si="114"/>
        <v>186647.16866710197</v>
      </c>
      <c r="ES19" s="73">
        <f t="shared" si="115"/>
        <v>0</v>
      </c>
      <c r="ET19" s="69" t="s">
        <v>8</v>
      </c>
      <c r="EU19" s="25" t="s">
        <v>8</v>
      </c>
      <c r="EV19" s="30">
        <f t="shared" si="116"/>
        <v>0.65091392835150952</v>
      </c>
      <c r="EW19" s="28">
        <f t="shared" si="117"/>
        <v>1.9206416576901031E-2</v>
      </c>
      <c r="EX19" s="29">
        <f t="shared" si="118"/>
        <v>186647.16866710197</v>
      </c>
      <c r="EY19" s="73">
        <f t="shared" si="119"/>
        <v>0</v>
      </c>
      <c r="EZ19" s="69" t="s">
        <v>8</v>
      </c>
      <c r="FA19" s="25" t="s">
        <v>8</v>
      </c>
      <c r="FB19" s="30">
        <f t="shared" si="120"/>
        <v>0.65091392835150952</v>
      </c>
      <c r="FC19" s="28">
        <f t="shared" si="121"/>
        <v>1.9206416576901031E-2</v>
      </c>
      <c r="FD19" s="29">
        <f t="shared" si="122"/>
        <v>186647.16866710197</v>
      </c>
      <c r="FE19" s="73">
        <f t="shared" si="123"/>
        <v>0</v>
      </c>
      <c r="FF19" s="69" t="s">
        <v>8</v>
      </c>
      <c r="FG19" s="25" t="s">
        <v>8</v>
      </c>
      <c r="FH19" s="30">
        <f t="shared" si="124"/>
        <v>0.65091392835150952</v>
      </c>
      <c r="FI19" s="28">
        <f t="shared" si="125"/>
        <v>1.9206416576901031E-2</v>
      </c>
      <c r="FJ19" s="29">
        <f t="shared" si="126"/>
        <v>186647.16866710197</v>
      </c>
      <c r="FK19" s="73">
        <f t="shared" si="127"/>
        <v>0</v>
      </c>
      <c r="FL19" s="69" t="s">
        <v>8</v>
      </c>
      <c r="FM19" s="25" t="s">
        <v>8</v>
      </c>
      <c r="FN19" s="30">
        <f t="shared" si="128"/>
        <v>0.65091392835150952</v>
      </c>
      <c r="FO19" s="28">
        <f t="shared" si="129"/>
        <v>1.9206416576901031E-2</v>
      </c>
      <c r="FP19" s="29">
        <f t="shared" si="130"/>
        <v>186647.16866710197</v>
      </c>
      <c r="FQ19" s="73">
        <f t="shared" si="131"/>
        <v>0</v>
      </c>
      <c r="FR19" s="69" t="s">
        <v>8</v>
      </c>
      <c r="FS19" s="25" t="s">
        <v>8</v>
      </c>
      <c r="FT19" s="30">
        <f t="shared" si="132"/>
        <v>0.65091392835150952</v>
      </c>
      <c r="FU19" s="28">
        <f t="shared" si="133"/>
        <v>1.9206416576901031E-2</v>
      </c>
      <c r="FV19" s="29">
        <f t="shared" si="134"/>
        <v>186647.16866710197</v>
      </c>
      <c r="FW19" s="73">
        <f t="shared" si="135"/>
        <v>0</v>
      </c>
      <c r="FX19" s="69" t="s">
        <v>8</v>
      </c>
      <c r="FY19" s="25" t="s">
        <v>8</v>
      </c>
      <c r="FZ19" s="30">
        <f t="shared" si="136"/>
        <v>0.65091392835150952</v>
      </c>
      <c r="GA19" s="28">
        <f t="shared" si="137"/>
        <v>1.9206416576901031E-2</v>
      </c>
      <c r="GB19" s="29">
        <f t="shared" si="138"/>
        <v>186647.16866710197</v>
      </c>
      <c r="GC19" s="73">
        <f t="shared" si="139"/>
        <v>0</v>
      </c>
      <c r="GD19" s="69" t="s">
        <v>8</v>
      </c>
      <c r="GE19" s="25" t="s">
        <v>8</v>
      </c>
      <c r="GF19" s="30">
        <f t="shared" si="140"/>
        <v>0.65091392835150952</v>
      </c>
      <c r="GG19" s="28">
        <f t="shared" si="141"/>
        <v>1.9206416576901031E-2</v>
      </c>
      <c r="GH19" s="29">
        <f t="shared" si="142"/>
        <v>186647.16866710197</v>
      </c>
      <c r="GI19" s="113">
        <f t="shared" si="143"/>
        <v>0</v>
      </c>
      <c r="GJ19" s="142">
        <f t="shared" si="146"/>
        <v>2362982.4879648979</v>
      </c>
      <c r="GK19" s="238">
        <f t="shared" si="144"/>
        <v>2432425.356647539</v>
      </c>
      <c r="GL19" s="196">
        <f t="shared" si="145"/>
        <v>0.65091392835150952</v>
      </c>
      <c r="GM19" s="86">
        <v>2432425.36</v>
      </c>
      <c r="GN19" s="244"/>
    </row>
    <row r="20" spans="1:196" s="20" customFormat="1" ht="15.75" customHeight="1" x14ac:dyDescent="0.25">
      <c r="A20" s="159" t="s">
        <v>183</v>
      </c>
      <c r="B20" s="130" t="s">
        <v>8</v>
      </c>
      <c r="C20" s="130" t="s">
        <v>8</v>
      </c>
      <c r="D20" s="130" t="s">
        <v>8</v>
      </c>
      <c r="E20" s="130" t="s">
        <v>8</v>
      </c>
      <c r="F20" s="130" t="s">
        <v>8</v>
      </c>
      <c r="G20" s="95">
        <f>'Исходные данные'!C22</f>
        <v>1048</v>
      </c>
      <c r="H20" s="42">
        <f>'Исходные данные'!F22</f>
        <v>388142</v>
      </c>
      <c r="I20" s="27">
        <f>'Расчет КРП'!G18</f>
        <v>2.6020947934198229</v>
      </c>
      <c r="J20" s="102" t="s">
        <v>8</v>
      </c>
      <c r="K20" s="106">
        <f t="shared" si="22"/>
        <v>7.5233485632252711E-2</v>
      </c>
      <c r="L20" s="70">
        <f t="shared" si="23"/>
        <v>93302.726127445843</v>
      </c>
      <c r="M20" s="66">
        <f t="shared" si="24"/>
        <v>9.3318334232917424E-2</v>
      </c>
      <c r="N20" s="25" t="s">
        <v>8</v>
      </c>
      <c r="O20" s="28">
        <f t="shared" si="25"/>
        <v>0.1780700136511088</v>
      </c>
      <c r="P20" s="29">
        <f t="shared" si="26"/>
        <v>961924.95251743356</v>
      </c>
      <c r="Q20" s="73">
        <f t="shared" si="27"/>
        <v>961924.95251743356</v>
      </c>
      <c r="R20" s="135" t="s">
        <v>8</v>
      </c>
      <c r="S20" s="25" t="s">
        <v>8</v>
      </c>
      <c r="T20" s="30">
        <f t="shared" si="28"/>
        <v>0.27976805390903003</v>
      </c>
      <c r="U20" s="28">
        <f t="shared" si="29"/>
        <v>6.5975771199518918E-2</v>
      </c>
      <c r="V20" s="46">
        <f t="shared" si="30"/>
        <v>407842.08781810559</v>
      </c>
      <c r="W20" s="73">
        <f t="shared" si="31"/>
        <v>407842.08781810559</v>
      </c>
      <c r="X20" s="69" t="s">
        <v>8</v>
      </c>
      <c r="Y20" s="25" t="s">
        <v>8</v>
      </c>
      <c r="Z20" s="30">
        <f t="shared" si="32"/>
        <v>0.35882000359262883</v>
      </c>
      <c r="AA20" s="28">
        <f t="shared" si="33"/>
        <v>5.1031510267744273E-2</v>
      </c>
      <c r="AB20" s="46">
        <f t="shared" si="34"/>
        <v>349633.19237007858</v>
      </c>
      <c r="AC20" s="73">
        <f t="shared" si="35"/>
        <v>349633.19237007858</v>
      </c>
      <c r="AD20" s="69" t="s">
        <v>8</v>
      </c>
      <c r="AE20" s="25" t="s">
        <v>8</v>
      </c>
      <c r="AF20" s="30">
        <f t="shared" si="36"/>
        <v>0.42658933480319861</v>
      </c>
      <c r="AG20" s="28">
        <f t="shared" si="37"/>
        <v>4.0125196995419776E-2</v>
      </c>
      <c r="AH20" s="46">
        <f t="shared" si="38"/>
        <v>298948.20637569478</v>
      </c>
      <c r="AI20" s="73">
        <f t="shared" si="39"/>
        <v>298948.20637569478</v>
      </c>
      <c r="AJ20" s="69" t="s">
        <v>8</v>
      </c>
      <c r="AK20" s="25" t="s">
        <v>8</v>
      </c>
      <c r="AL20" s="30">
        <f t="shared" si="40"/>
        <v>0.48453440539373899</v>
      </c>
      <c r="AM20" s="28">
        <f t="shared" si="41"/>
        <v>3.3366184840430579E-2</v>
      </c>
      <c r="AN20" s="46">
        <f t="shared" si="42"/>
        <v>266619.60792316071</v>
      </c>
      <c r="AO20" s="73">
        <f t="shared" si="43"/>
        <v>266619.60792316071</v>
      </c>
      <c r="AP20" s="69" t="s">
        <v>8</v>
      </c>
      <c r="AQ20" s="25" t="s">
        <v>8</v>
      </c>
      <c r="AR20" s="30">
        <f t="shared" si="44"/>
        <v>0.53621323026186452</v>
      </c>
      <c r="AS20" s="28">
        <f t="shared" si="45"/>
        <v>2.7776833565247516E-2</v>
      </c>
      <c r="AT20" s="46">
        <f t="shared" si="46"/>
        <v>235489.5096324239</v>
      </c>
      <c r="AU20" s="73">
        <f t="shared" si="47"/>
        <v>235489.5096324239</v>
      </c>
      <c r="AV20" s="69" t="s">
        <v>8</v>
      </c>
      <c r="AW20" s="25" t="s">
        <v>8</v>
      </c>
      <c r="AX20" s="30">
        <f t="shared" si="48"/>
        <v>0.58185811445238556</v>
      </c>
      <c r="AY20" s="28">
        <f t="shared" si="49"/>
        <v>2.2616238858150228E-2</v>
      </c>
      <c r="AZ20" s="46">
        <f t="shared" si="50"/>
        <v>201409.33148072724</v>
      </c>
      <c r="BA20" s="73">
        <f t="shared" si="51"/>
        <v>201409.33148072724</v>
      </c>
      <c r="BB20" s="69" t="s">
        <v>8</v>
      </c>
      <c r="BC20" s="25" t="s">
        <v>8</v>
      </c>
      <c r="BD20" s="30">
        <f t="shared" si="52"/>
        <v>0.6208972445804235</v>
      </c>
      <c r="BE20" s="28">
        <f t="shared" si="53"/>
        <v>2.1507025879301422E-2</v>
      </c>
      <c r="BF20" s="46">
        <f t="shared" si="54"/>
        <v>206818.85396355466</v>
      </c>
      <c r="BG20" s="73">
        <f t="shared" si="55"/>
        <v>154800.27020386685</v>
      </c>
      <c r="BH20" s="69" t="s">
        <v>8</v>
      </c>
      <c r="BI20" s="25" t="s">
        <v>8</v>
      </c>
      <c r="BJ20" s="30">
        <f t="shared" si="56"/>
        <v>0.65090214975495109</v>
      </c>
      <c r="BK20" s="28">
        <f t="shared" si="57"/>
        <v>1.9218195173459462E-2</v>
      </c>
      <c r="BL20" s="46">
        <f t="shared" si="58"/>
        <v>192466.69256148531</v>
      </c>
      <c r="BM20" s="73">
        <f t="shared" si="59"/>
        <v>0</v>
      </c>
      <c r="BN20" s="69" t="s">
        <v>8</v>
      </c>
      <c r="BO20" s="25" t="s">
        <v>8</v>
      </c>
      <c r="BP20" s="30">
        <f t="shared" si="60"/>
        <v>0.65090214975495109</v>
      </c>
      <c r="BQ20" s="28">
        <f t="shared" si="61"/>
        <v>1.9218195173459462E-2</v>
      </c>
      <c r="BR20" s="46">
        <f t="shared" si="62"/>
        <v>192466.69256148531</v>
      </c>
      <c r="BS20" s="113">
        <f t="shared" si="63"/>
        <v>0</v>
      </c>
      <c r="BT20" s="69" t="s">
        <v>8</v>
      </c>
      <c r="BU20" s="25" t="s">
        <v>8</v>
      </c>
      <c r="BV20" s="30">
        <f t="shared" si="64"/>
        <v>0.65090214975495109</v>
      </c>
      <c r="BW20" s="28">
        <f t="shared" si="65"/>
        <v>1.9218195173459462E-2</v>
      </c>
      <c r="BX20" s="46">
        <f t="shared" si="66"/>
        <v>192466.69256148531</v>
      </c>
      <c r="BY20" s="113">
        <f t="shared" si="67"/>
        <v>0</v>
      </c>
      <c r="BZ20" s="69" t="s">
        <v>8</v>
      </c>
      <c r="CA20" s="25" t="s">
        <v>8</v>
      </c>
      <c r="CB20" s="30">
        <f t="shared" si="68"/>
        <v>0.65090214975495109</v>
      </c>
      <c r="CC20" s="28">
        <f t="shared" si="69"/>
        <v>1.9218195173459462E-2</v>
      </c>
      <c r="CD20" s="46">
        <f t="shared" si="70"/>
        <v>192466.69256148531</v>
      </c>
      <c r="CE20" s="113">
        <f t="shared" si="71"/>
        <v>0</v>
      </c>
      <c r="CF20" s="69" t="s">
        <v>8</v>
      </c>
      <c r="CG20" s="25" t="s">
        <v>8</v>
      </c>
      <c r="CH20" s="30">
        <f t="shared" si="72"/>
        <v>0.65090214975495109</v>
      </c>
      <c r="CI20" s="28">
        <f t="shared" si="73"/>
        <v>1.9218195173459462E-2</v>
      </c>
      <c r="CJ20" s="46">
        <f t="shared" si="74"/>
        <v>192466.69256148531</v>
      </c>
      <c r="CK20" s="113">
        <f t="shared" si="75"/>
        <v>0</v>
      </c>
      <c r="CL20" s="69" t="s">
        <v>8</v>
      </c>
      <c r="CM20" s="25" t="s">
        <v>8</v>
      </c>
      <c r="CN20" s="30">
        <f t="shared" si="76"/>
        <v>0.65090214975495109</v>
      </c>
      <c r="CO20" s="28">
        <f t="shared" si="77"/>
        <v>1.9218195173459462E-2</v>
      </c>
      <c r="CP20" s="46">
        <f t="shared" si="78"/>
        <v>192466.69256148531</v>
      </c>
      <c r="CQ20" s="113">
        <f t="shared" si="79"/>
        <v>0</v>
      </c>
      <c r="CR20" s="69" t="s">
        <v>8</v>
      </c>
      <c r="CS20" s="25" t="s">
        <v>8</v>
      </c>
      <c r="CT20" s="30">
        <f t="shared" si="80"/>
        <v>0.65090214975495109</v>
      </c>
      <c r="CU20" s="28">
        <f t="shared" si="81"/>
        <v>1.9218195173459462E-2</v>
      </c>
      <c r="CV20" s="46">
        <f t="shared" si="82"/>
        <v>192466.69256148531</v>
      </c>
      <c r="CW20" s="113">
        <f t="shared" si="83"/>
        <v>0</v>
      </c>
      <c r="CX20" s="69" t="s">
        <v>8</v>
      </c>
      <c r="CY20" s="25" t="s">
        <v>8</v>
      </c>
      <c r="CZ20" s="30">
        <f t="shared" si="84"/>
        <v>0.65090214975495109</v>
      </c>
      <c r="DA20" s="28">
        <f t="shared" si="85"/>
        <v>1.9218195173459462E-2</v>
      </c>
      <c r="DB20" s="46">
        <f t="shared" si="86"/>
        <v>192466.69256148531</v>
      </c>
      <c r="DC20" s="113">
        <f t="shared" si="87"/>
        <v>0</v>
      </c>
      <c r="DD20" s="69" t="s">
        <v>8</v>
      </c>
      <c r="DE20" s="25" t="s">
        <v>8</v>
      </c>
      <c r="DF20" s="30">
        <f t="shared" si="88"/>
        <v>0.65090214975495109</v>
      </c>
      <c r="DG20" s="28">
        <f t="shared" si="89"/>
        <v>1.9218195173459462E-2</v>
      </c>
      <c r="DH20" s="46">
        <f t="shared" si="90"/>
        <v>192466.69256148531</v>
      </c>
      <c r="DI20" s="113">
        <f t="shared" si="91"/>
        <v>0</v>
      </c>
      <c r="DJ20" s="69" t="s">
        <v>8</v>
      </c>
      <c r="DK20" s="25" t="s">
        <v>8</v>
      </c>
      <c r="DL20" s="30">
        <f t="shared" si="92"/>
        <v>0.65090214975495109</v>
      </c>
      <c r="DM20" s="28">
        <f t="shared" si="93"/>
        <v>1.9218195173459462E-2</v>
      </c>
      <c r="DN20" s="46">
        <f t="shared" si="94"/>
        <v>192466.69256148531</v>
      </c>
      <c r="DO20" s="113">
        <f t="shared" si="95"/>
        <v>0</v>
      </c>
      <c r="DP20" s="69" t="s">
        <v>8</v>
      </c>
      <c r="DQ20" s="25" t="s">
        <v>8</v>
      </c>
      <c r="DR20" s="30">
        <f t="shared" si="96"/>
        <v>0.65090214975495109</v>
      </c>
      <c r="DS20" s="28">
        <f t="shared" si="97"/>
        <v>1.9218195173459462E-2</v>
      </c>
      <c r="DT20" s="46">
        <f t="shared" si="98"/>
        <v>192466.69256148531</v>
      </c>
      <c r="DU20" s="113">
        <f t="shared" si="99"/>
        <v>0</v>
      </c>
      <c r="DV20" s="69" t="s">
        <v>8</v>
      </c>
      <c r="DW20" s="25" t="s">
        <v>8</v>
      </c>
      <c r="DX20" s="30">
        <f t="shared" si="100"/>
        <v>0.65090214975495109</v>
      </c>
      <c r="DY20" s="28">
        <f t="shared" si="101"/>
        <v>1.9218195173459462E-2</v>
      </c>
      <c r="DZ20" s="29">
        <f t="shared" si="102"/>
        <v>192466.69256148531</v>
      </c>
      <c r="EA20" s="73">
        <f t="shared" si="103"/>
        <v>0</v>
      </c>
      <c r="EB20" s="69" t="s">
        <v>8</v>
      </c>
      <c r="EC20" s="25" t="s">
        <v>8</v>
      </c>
      <c r="ED20" s="30">
        <f t="shared" si="104"/>
        <v>0.65090214975495109</v>
      </c>
      <c r="EE20" s="28">
        <f t="shared" si="105"/>
        <v>1.9218195173459462E-2</v>
      </c>
      <c r="EF20" s="29">
        <f t="shared" si="106"/>
        <v>192466.69256148531</v>
      </c>
      <c r="EG20" s="73">
        <f t="shared" si="107"/>
        <v>0</v>
      </c>
      <c r="EH20" s="69" t="s">
        <v>8</v>
      </c>
      <c r="EI20" s="25" t="s">
        <v>8</v>
      </c>
      <c r="EJ20" s="30">
        <f t="shared" si="108"/>
        <v>0.65090214975495109</v>
      </c>
      <c r="EK20" s="28">
        <f t="shared" si="109"/>
        <v>1.9218195173459462E-2</v>
      </c>
      <c r="EL20" s="29">
        <f t="shared" si="110"/>
        <v>192466.69256148531</v>
      </c>
      <c r="EM20" s="73">
        <f t="shared" si="111"/>
        <v>0</v>
      </c>
      <c r="EN20" s="69" t="s">
        <v>8</v>
      </c>
      <c r="EO20" s="25" t="s">
        <v>8</v>
      </c>
      <c r="EP20" s="30">
        <f t="shared" si="112"/>
        <v>0.65090214975495109</v>
      </c>
      <c r="EQ20" s="28">
        <f t="shared" si="113"/>
        <v>1.9218195173459462E-2</v>
      </c>
      <c r="ER20" s="29">
        <f t="shared" si="114"/>
        <v>192466.69256148531</v>
      </c>
      <c r="ES20" s="73">
        <f t="shared" si="115"/>
        <v>0</v>
      </c>
      <c r="ET20" s="69" t="s">
        <v>8</v>
      </c>
      <c r="EU20" s="25" t="s">
        <v>8</v>
      </c>
      <c r="EV20" s="30">
        <f t="shared" si="116"/>
        <v>0.65090214975495109</v>
      </c>
      <c r="EW20" s="28">
        <f t="shared" si="117"/>
        <v>1.9218195173459462E-2</v>
      </c>
      <c r="EX20" s="29">
        <f t="shared" si="118"/>
        <v>192466.69256148531</v>
      </c>
      <c r="EY20" s="73">
        <f t="shared" si="119"/>
        <v>0</v>
      </c>
      <c r="EZ20" s="69" t="s">
        <v>8</v>
      </c>
      <c r="FA20" s="25" t="s">
        <v>8</v>
      </c>
      <c r="FB20" s="30">
        <f t="shared" si="120"/>
        <v>0.65090214975495109</v>
      </c>
      <c r="FC20" s="28">
        <f t="shared" si="121"/>
        <v>1.9218195173459462E-2</v>
      </c>
      <c r="FD20" s="29">
        <f t="shared" si="122"/>
        <v>192466.69256148531</v>
      </c>
      <c r="FE20" s="73">
        <f t="shared" si="123"/>
        <v>0</v>
      </c>
      <c r="FF20" s="69" t="s">
        <v>8</v>
      </c>
      <c r="FG20" s="25" t="s">
        <v>8</v>
      </c>
      <c r="FH20" s="30">
        <f t="shared" si="124"/>
        <v>0.65090214975495109</v>
      </c>
      <c r="FI20" s="28">
        <f t="shared" si="125"/>
        <v>1.9218195173459462E-2</v>
      </c>
      <c r="FJ20" s="29">
        <f t="shared" si="126"/>
        <v>192466.69256148531</v>
      </c>
      <c r="FK20" s="73">
        <f t="shared" si="127"/>
        <v>0</v>
      </c>
      <c r="FL20" s="69" t="s">
        <v>8</v>
      </c>
      <c r="FM20" s="25" t="s">
        <v>8</v>
      </c>
      <c r="FN20" s="30">
        <f t="shared" si="128"/>
        <v>0.65090214975495109</v>
      </c>
      <c r="FO20" s="28">
        <f t="shared" si="129"/>
        <v>1.9218195173459462E-2</v>
      </c>
      <c r="FP20" s="29">
        <f t="shared" si="130"/>
        <v>192466.69256148531</v>
      </c>
      <c r="FQ20" s="73">
        <f t="shared" si="131"/>
        <v>0</v>
      </c>
      <c r="FR20" s="69" t="s">
        <v>8</v>
      </c>
      <c r="FS20" s="25" t="s">
        <v>8</v>
      </c>
      <c r="FT20" s="30">
        <f t="shared" si="132"/>
        <v>0.65090214975495109</v>
      </c>
      <c r="FU20" s="28">
        <f t="shared" si="133"/>
        <v>1.9218195173459462E-2</v>
      </c>
      <c r="FV20" s="29">
        <f t="shared" si="134"/>
        <v>192466.69256148531</v>
      </c>
      <c r="FW20" s="73">
        <f t="shared" si="135"/>
        <v>0</v>
      </c>
      <c r="FX20" s="69" t="s">
        <v>8</v>
      </c>
      <c r="FY20" s="25" t="s">
        <v>8</v>
      </c>
      <c r="FZ20" s="30">
        <f t="shared" si="136"/>
        <v>0.65090214975495109</v>
      </c>
      <c r="GA20" s="28">
        <f t="shared" si="137"/>
        <v>1.9218195173459462E-2</v>
      </c>
      <c r="GB20" s="29">
        <f t="shared" si="138"/>
        <v>192466.69256148531</v>
      </c>
      <c r="GC20" s="73">
        <f t="shared" si="139"/>
        <v>0</v>
      </c>
      <c r="GD20" s="69" t="s">
        <v>8</v>
      </c>
      <c r="GE20" s="25" t="s">
        <v>8</v>
      </c>
      <c r="GF20" s="30">
        <f t="shared" si="140"/>
        <v>0.65090214975495109</v>
      </c>
      <c r="GG20" s="28">
        <f t="shared" si="141"/>
        <v>1.9218195173459462E-2</v>
      </c>
      <c r="GH20" s="29">
        <f t="shared" si="142"/>
        <v>192466.69256148531</v>
      </c>
      <c r="GI20" s="113">
        <f t="shared" si="143"/>
        <v>0</v>
      </c>
      <c r="GJ20" s="142">
        <f t="shared" si="146"/>
        <v>2876667.1583214914</v>
      </c>
      <c r="GK20" s="238">
        <f t="shared" si="144"/>
        <v>2969969.8844489371</v>
      </c>
      <c r="GL20" s="196">
        <f t="shared" si="145"/>
        <v>0.65090214975495109</v>
      </c>
      <c r="GM20" s="86">
        <v>2969969.88</v>
      </c>
      <c r="GN20" s="244"/>
    </row>
    <row r="21" spans="1:196" s="20" customFormat="1" x14ac:dyDescent="0.25">
      <c r="A21" s="159" t="s">
        <v>184</v>
      </c>
      <c r="B21" s="131" t="s">
        <v>8</v>
      </c>
      <c r="C21" s="131" t="s">
        <v>8</v>
      </c>
      <c r="D21" s="131" t="s">
        <v>8</v>
      </c>
      <c r="E21" s="131" t="s">
        <v>8</v>
      </c>
      <c r="F21" s="131" t="s">
        <v>8</v>
      </c>
      <c r="G21" s="116">
        <f>'Исходные данные'!C23</f>
        <v>518</v>
      </c>
      <c r="H21" s="42">
        <f>'Исходные данные'!F23</f>
        <v>561624</v>
      </c>
      <c r="I21" s="118">
        <f>'Расчет КРП'!G19</f>
        <v>3.7412576063272414</v>
      </c>
      <c r="J21" s="119" t="s">
        <v>8</v>
      </c>
      <c r="K21" s="120">
        <f t="shared" si="22"/>
        <v>0.15318040953773335</v>
      </c>
      <c r="L21" s="121">
        <f t="shared" si="23"/>
        <v>46117.187150779529</v>
      </c>
      <c r="M21" s="122">
        <f t="shared" si="24"/>
        <v>0.16575866405407291</v>
      </c>
      <c r="N21" s="123" t="s">
        <v>8</v>
      </c>
      <c r="O21" s="124">
        <f t="shared" si="25"/>
        <v>0.1056296838299533</v>
      </c>
      <c r="P21" s="29">
        <f t="shared" si="26"/>
        <v>405507.9328543162</v>
      </c>
      <c r="Q21" s="125">
        <f t="shared" si="27"/>
        <v>405507.9328543162</v>
      </c>
      <c r="R21" s="136" t="s">
        <v>8</v>
      </c>
      <c r="S21" s="123" t="s">
        <v>8</v>
      </c>
      <c r="T21" s="126">
        <f t="shared" si="28"/>
        <v>0.27635912134475826</v>
      </c>
      <c r="U21" s="124">
        <f t="shared" si="29"/>
        <v>6.9384703763790689E-2</v>
      </c>
      <c r="V21" s="46">
        <f t="shared" si="30"/>
        <v>304813.55811864953</v>
      </c>
      <c r="W21" s="125">
        <f t="shared" si="31"/>
        <v>304813.55811864953</v>
      </c>
      <c r="X21" s="115" t="s">
        <v>8</v>
      </c>
      <c r="Y21" s="123" t="s">
        <v>8</v>
      </c>
      <c r="Z21" s="126">
        <f t="shared" si="32"/>
        <v>0.35949564269225837</v>
      </c>
      <c r="AA21" s="124">
        <f t="shared" si="33"/>
        <v>5.0355871168114741E-2</v>
      </c>
      <c r="AB21" s="46">
        <f t="shared" si="34"/>
        <v>245181.28912642717</v>
      </c>
      <c r="AC21" s="125">
        <f t="shared" si="35"/>
        <v>245181.28912642717</v>
      </c>
      <c r="AD21" s="115" t="s">
        <v>8</v>
      </c>
      <c r="AE21" s="123" t="s">
        <v>8</v>
      </c>
      <c r="AF21" s="126">
        <f t="shared" si="36"/>
        <v>0.42636773198932454</v>
      </c>
      <c r="AG21" s="124">
        <f t="shared" si="37"/>
        <v>4.0346799809293843E-2</v>
      </c>
      <c r="AH21" s="46">
        <f t="shared" si="38"/>
        <v>213624.39419584142</v>
      </c>
      <c r="AI21" s="125">
        <f t="shared" si="39"/>
        <v>213624.39419584142</v>
      </c>
      <c r="AJ21" s="115" t="s">
        <v>8</v>
      </c>
      <c r="AK21" s="123" t="s">
        <v>8</v>
      </c>
      <c r="AL21" s="126">
        <f t="shared" si="40"/>
        <v>0.48463282071446662</v>
      </c>
      <c r="AM21" s="124">
        <f t="shared" si="41"/>
        <v>3.326776951970295E-2</v>
      </c>
      <c r="AN21" s="46">
        <f t="shared" si="42"/>
        <v>188917.50195610241</v>
      </c>
      <c r="AO21" s="125">
        <f t="shared" si="43"/>
        <v>188917.50195610241</v>
      </c>
      <c r="AP21" s="115" t="s">
        <v>8</v>
      </c>
      <c r="AQ21" s="123" t="s">
        <v>8</v>
      </c>
      <c r="AR21" s="126">
        <f t="shared" si="44"/>
        <v>0.53615921616494822</v>
      </c>
      <c r="AS21" s="124">
        <f t="shared" si="45"/>
        <v>2.7830847662163816E-2</v>
      </c>
      <c r="AT21" s="46">
        <f t="shared" si="46"/>
        <v>167678.83158424491</v>
      </c>
      <c r="AU21" s="125">
        <f t="shared" si="47"/>
        <v>167678.83158424491</v>
      </c>
      <c r="AV21" s="115" t="s">
        <v>8</v>
      </c>
      <c r="AW21" s="123" t="s">
        <v>8</v>
      </c>
      <c r="AX21" s="126">
        <f t="shared" si="48"/>
        <v>0.58189286019170505</v>
      </c>
      <c r="AY21" s="124">
        <f t="shared" si="49"/>
        <v>2.2581493118830731E-2</v>
      </c>
      <c r="AZ21" s="46">
        <f t="shared" si="50"/>
        <v>142914.02032828957</v>
      </c>
      <c r="BA21" s="125">
        <f t="shared" si="51"/>
        <v>142914.02032828957</v>
      </c>
      <c r="BB21" s="115" t="s">
        <v>8</v>
      </c>
      <c r="BC21" s="123" t="s">
        <v>8</v>
      </c>
      <c r="BD21" s="126">
        <f t="shared" si="52"/>
        <v>0.62087201379370804</v>
      </c>
      <c r="BE21" s="124">
        <f t="shared" si="53"/>
        <v>2.153225666601688E-2</v>
      </c>
      <c r="BF21" s="46">
        <f t="shared" si="54"/>
        <v>147150.68691097942</v>
      </c>
      <c r="BG21" s="125">
        <f t="shared" si="55"/>
        <v>110139.69789484621</v>
      </c>
      <c r="BH21" s="115" t="s">
        <v>8</v>
      </c>
      <c r="BI21" s="123" t="s">
        <v>8</v>
      </c>
      <c r="BJ21" s="126">
        <f t="shared" si="56"/>
        <v>0.65091211897064971</v>
      </c>
      <c r="BK21" s="124">
        <f t="shared" si="57"/>
        <v>1.9208225957760838E-2</v>
      </c>
      <c r="BL21" s="46">
        <f t="shared" si="58"/>
        <v>136707.77525724325</v>
      </c>
      <c r="BM21" s="125">
        <f t="shared" si="59"/>
        <v>0</v>
      </c>
      <c r="BN21" s="115" t="s">
        <v>8</v>
      </c>
      <c r="BO21" s="123" t="s">
        <v>8</v>
      </c>
      <c r="BP21" s="126">
        <f t="shared" si="60"/>
        <v>0.65091211897064971</v>
      </c>
      <c r="BQ21" s="124">
        <f t="shared" si="61"/>
        <v>1.9208225957760838E-2</v>
      </c>
      <c r="BR21" s="46">
        <f t="shared" si="62"/>
        <v>136707.77525724325</v>
      </c>
      <c r="BS21" s="127">
        <f t="shared" si="63"/>
        <v>0</v>
      </c>
      <c r="BT21" s="115" t="s">
        <v>8</v>
      </c>
      <c r="BU21" s="123" t="s">
        <v>8</v>
      </c>
      <c r="BV21" s="126">
        <f t="shared" si="64"/>
        <v>0.65091211897064971</v>
      </c>
      <c r="BW21" s="124">
        <f t="shared" si="65"/>
        <v>1.9208225957760838E-2</v>
      </c>
      <c r="BX21" s="46">
        <f t="shared" si="66"/>
        <v>136707.77525724325</v>
      </c>
      <c r="BY21" s="127">
        <f t="shared" si="67"/>
        <v>0</v>
      </c>
      <c r="BZ21" s="115" t="s">
        <v>8</v>
      </c>
      <c r="CA21" s="123" t="s">
        <v>8</v>
      </c>
      <c r="CB21" s="126">
        <f t="shared" si="68"/>
        <v>0.65091211897064971</v>
      </c>
      <c r="CC21" s="124">
        <f t="shared" si="69"/>
        <v>1.9208225957760838E-2</v>
      </c>
      <c r="CD21" s="46">
        <f t="shared" si="70"/>
        <v>136707.77525724325</v>
      </c>
      <c r="CE21" s="127">
        <f t="shared" si="71"/>
        <v>0</v>
      </c>
      <c r="CF21" s="115" t="s">
        <v>8</v>
      </c>
      <c r="CG21" s="123" t="s">
        <v>8</v>
      </c>
      <c r="CH21" s="126">
        <f t="shared" si="72"/>
        <v>0.65091211897064971</v>
      </c>
      <c r="CI21" s="124">
        <f t="shared" si="73"/>
        <v>1.9208225957760838E-2</v>
      </c>
      <c r="CJ21" s="46">
        <f t="shared" si="74"/>
        <v>136707.77525724325</v>
      </c>
      <c r="CK21" s="127">
        <f t="shared" si="75"/>
        <v>0</v>
      </c>
      <c r="CL21" s="115" t="s">
        <v>8</v>
      </c>
      <c r="CM21" s="123" t="s">
        <v>8</v>
      </c>
      <c r="CN21" s="126">
        <f t="shared" si="76"/>
        <v>0.65091211897064971</v>
      </c>
      <c r="CO21" s="124">
        <f t="shared" si="77"/>
        <v>1.9208225957760838E-2</v>
      </c>
      <c r="CP21" s="46">
        <f t="shared" si="78"/>
        <v>136707.77525724325</v>
      </c>
      <c r="CQ21" s="127">
        <f t="shared" si="79"/>
        <v>0</v>
      </c>
      <c r="CR21" s="115" t="s">
        <v>8</v>
      </c>
      <c r="CS21" s="123" t="s">
        <v>8</v>
      </c>
      <c r="CT21" s="126">
        <f t="shared" si="80"/>
        <v>0.65091211897064971</v>
      </c>
      <c r="CU21" s="124">
        <f t="shared" si="81"/>
        <v>1.9208225957760838E-2</v>
      </c>
      <c r="CV21" s="46">
        <f t="shared" si="82"/>
        <v>136707.77525724325</v>
      </c>
      <c r="CW21" s="127">
        <f t="shared" si="83"/>
        <v>0</v>
      </c>
      <c r="CX21" s="115" t="s">
        <v>8</v>
      </c>
      <c r="CY21" s="123" t="s">
        <v>8</v>
      </c>
      <c r="CZ21" s="126">
        <f t="shared" si="84"/>
        <v>0.65091211897064971</v>
      </c>
      <c r="DA21" s="124">
        <f t="shared" si="85"/>
        <v>1.9208225957760838E-2</v>
      </c>
      <c r="DB21" s="46">
        <f t="shared" si="86"/>
        <v>136707.77525724325</v>
      </c>
      <c r="DC21" s="127">
        <f t="shared" si="87"/>
        <v>0</v>
      </c>
      <c r="DD21" s="115" t="s">
        <v>8</v>
      </c>
      <c r="DE21" s="123" t="s">
        <v>8</v>
      </c>
      <c r="DF21" s="126">
        <f t="shared" si="88"/>
        <v>0.65091211897064971</v>
      </c>
      <c r="DG21" s="124">
        <f t="shared" si="89"/>
        <v>1.9208225957760838E-2</v>
      </c>
      <c r="DH21" s="46">
        <f t="shared" si="90"/>
        <v>136707.77525724325</v>
      </c>
      <c r="DI21" s="127">
        <f t="shared" si="91"/>
        <v>0</v>
      </c>
      <c r="DJ21" s="115" t="s">
        <v>8</v>
      </c>
      <c r="DK21" s="123" t="s">
        <v>8</v>
      </c>
      <c r="DL21" s="126">
        <f t="shared" si="92"/>
        <v>0.65091211897064971</v>
      </c>
      <c r="DM21" s="124">
        <f t="shared" si="93"/>
        <v>1.9208225957760838E-2</v>
      </c>
      <c r="DN21" s="46">
        <f t="shared" si="94"/>
        <v>136707.77525724325</v>
      </c>
      <c r="DO21" s="127">
        <f t="shared" si="95"/>
        <v>0</v>
      </c>
      <c r="DP21" s="115" t="s">
        <v>8</v>
      </c>
      <c r="DQ21" s="123" t="s">
        <v>8</v>
      </c>
      <c r="DR21" s="126">
        <f t="shared" si="96"/>
        <v>0.65091211897064971</v>
      </c>
      <c r="DS21" s="124">
        <f t="shared" si="97"/>
        <v>1.9208225957760838E-2</v>
      </c>
      <c r="DT21" s="46">
        <f t="shared" si="98"/>
        <v>136707.77525724325</v>
      </c>
      <c r="DU21" s="127">
        <f t="shared" si="99"/>
        <v>0</v>
      </c>
      <c r="DV21" s="115" t="s">
        <v>8</v>
      </c>
      <c r="DW21" s="123" t="s">
        <v>8</v>
      </c>
      <c r="DX21" s="30">
        <f t="shared" si="100"/>
        <v>0.65091211897064971</v>
      </c>
      <c r="DY21" s="124">
        <f t="shared" si="101"/>
        <v>1.9208225957760838E-2</v>
      </c>
      <c r="DZ21" s="29">
        <f t="shared" si="102"/>
        <v>136707.77525724325</v>
      </c>
      <c r="EA21" s="125">
        <f t="shared" si="103"/>
        <v>0</v>
      </c>
      <c r="EB21" s="115" t="s">
        <v>8</v>
      </c>
      <c r="EC21" s="123" t="s">
        <v>8</v>
      </c>
      <c r="ED21" s="30">
        <f t="shared" si="104"/>
        <v>0.65091211897064971</v>
      </c>
      <c r="EE21" s="124">
        <f t="shared" si="105"/>
        <v>1.9208225957760838E-2</v>
      </c>
      <c r="EF21" s="29">
        <f t="shared" si="106"/>
        <v>136707.77525724325</v>
      </c>
      <c r="EG21" s="125">
        <f t="shared" si="107"/>
        <v>0</v>
      </c>
      <c r="EH21" s="115" t="s">
        <v>8</v>
      </c>
      <c r="EI21" s="123" t="s">
        <v>8</v>
      </c>
      <c r="EJ21" s="30">
        <f t="shared" si="108"/>
        <v>0.65091211897064971</v>
      </c>
      <c r="EK21" s="124">
        <f t="shared" si="109"/>
        <v>1.9208225957760838E-2</v>
      </c>
      <c r="EL21" s="29">
        <f t="shared" si="110"/>
        <v>136707.77525724325</v>
      </c>
      <c r="EM21" s="125">
        <f t="shared" si="111"/>
        <v>0</v>
      </c>
      <c r="EN21" s="115" t="s">
        <v>8</v>
      </c>
      <c r="EO21" s="123" t="s">
        <v>8</v>
      </c>
      <c r="EP21" s="30">
        <f t="shared" si="112"/>
        <v>0.65091211897064971</v>
      </c>
      <c r="EQ21" s="124">
        <f t="shared" si="113"/>
        <v>1.9208225957760838E-2</v>
      </c>
      <c r="ER21" s="29">
        <f t="shared" si="114"/>
        <v>136707.77525724325</v>
      </c>
      <c r="ES21" s="125">
        <f t="shared" si="115"/>
        <v>0</v>
      </c>
      <c r="ET21" s="115" t="s">
        <v>8</v>
      </c>
      <c r="EU21" s="123" t="s">
        <v>8</v>
      </c>
      <c r="EV21" s="30">
        <f t="shared" si="116"/>
        <v>0.65091211897064971</v>
      </c>
      <c r="EW21" s="124">
        <f t="shared" si="117"/>
        <v>1.9208225957760838E-2</v>
      </c>
      <c r="EX21" s="29">
        <f t="shared" si="118"/>
        <v>136707.77525724325</v>
      </c>
      <c r="EY21" s="125">
        <f t="shared" si="119"/>
        <v>0</v>
      </c>
      <c r="EZ21" s="115" t="s">
        <v>8</v>
      </c>
      <c r="FA21" s="123" t="s">
        <v>8</v>
      </c>
      <c r="FB21" s="30">
        <f t="shared" si="120"/>
        <v>0.65091211897064971</v>
      </c>
      <c r="FC21" s="124">
        <f t="shared" si="121"/>
        <v>1.9208225957760838E-2</v>
      </c>
      <c r="FD21" s="29">
        <f t="shared" si="122"/>
        <v>136707.77525724325</v>
      </c>
      <c r="FE21" s="125">
        <f t="shared" si="123"/>
        <v>0</v>
      </c>
      <c r="FF21" s="115" t="s">
        <v>8</v>
      </c>
      <c r="FG21" s="123" t="s">
        <v>8</v>
      </c>
      <c r="FH21" s="30">
        <f t="shared" si="124"/>
        <v>0.65091211897064971</v>
      </c>
      <c r="FI21" s="124">
        <f t="shared" si="125"/>
        <v>1.9208225957760838E-2</v>
      </c>
      <c r="FJ21" s="29">
        <f t="shared" si="126"/>
        <v>136707.77525724325</v>
      </c>
      <c r="FK21" s="125">
        <f t="shared" si="127"/>
        <v>0</v>
      </c>
      <c r="FL21" s="115" t="s">
        <v>8</v>
      </c>
      <c r="FM21" s="123" t="s">
        <v>8</v>
      </c>
      <c r="FN21" s="30">
        <f t="shared" si="128"/>
        <v>0.65091211897064971</v>
      </c>
      <c r="FO21" s="124">
        <f t="shared" si="129"/>
        <v>1.9208225957760838E-2</v>
      </c>
      <c r="FP21" s="29">
        <f t="shared" si="130"/>
        <v>136707.77525724325</v>
      </c>
      <c r="FQ21" s="125">
        <f t="shared" si="131"/>
        <v>0</v>
      </c>
      <c r="FR21" s="115" t="s">
        <v>8</v>
      </c>
      <c r="FS21" s="123" t="s">
        <v>8</v>
      </c>
      <c r="FT21" s="30">
        <f t="shared" si="132"/>
        <v>0.65091211897064971</v>
      </c>
      <c r="FU21" s="124">
        <f t="shared" si="133"/>
        <v>1.9208225957760838E-2</v>
      </c>
      <c r="FV21" s="29">
        <f t="shared" si="134"/>
        <v>136707.77525724325</v>
      </c>
      <c r="FW21" s="125">
        <f t="shared" si="135"/>
        <v>0</v>
      </c>
      <c r="FX21" s="115" t="s">
        <v>8</v>
      </c>
      <c r="FY21" s="123" t="s">
        <v>8</v>
      </c>
      <c r="FZ21" s="30">
        <f t="shared" si="136"/>
        <v>0.65091211897064971</v>
      </c>
      <c r="GA21" s="124">
        <f t="shared" si="137"/>
        <v>1.9208225957760838E-2</v>
      </c>
      <c r="GB21" s="29">
        <f t="shared" si="138"/>
        <v>136707.77525724325</v>
      </c>
      <c r="GC21" s="125">
        <f t="shared" si="139"/>
        <v>0</v>
      </c>
      <c r="GD21" s="115" t="s">
        <v>8</v>
      </c>
      <c r="GE21" s="123" t="s">
        <v>8</v>
      </c>
      <c r="GF21" s="30">
        <f t="shared" si="140"/>
        <v>0.65091211897064971</v>
      </c>
      <c r="GG21" s="124">
        <f t="shared" si="141"/>
        <v>1.9208225957760838E-2</v>
      </c>
      <c r="GH21" s="29">
        <f t="shared" si="142"/>
        <v>136707.77525724325</v>
      </c>
      <c r="GI21" s="127">
        <f t="shared" si="143"/>
        <v>0</v>
      </c>
      <c r="GJ21" s="142">
        <f t="shared" si="146"/>
        <v>1778777.2260587174</v>
      </c>
      <c r="GK21" s="238">
        <f t="shared" si="144"/>
        <v>1824894.413209497</v>
      </c>
      <c r="GL21" s="196">
        <f t="shared" si="145"/>
        <v>0.65091211897064993</v>
      </c>
      <c r="GM21" s="86">
        <v>1824894.41</v>
      </c>
      <c r="GN21" s="244"/>
    </row>
    <row r="22" spans="1:196" s="20" customFormat="1" ht="31.5" x14ac:dyDescent="0.25">
      <c r="A22" s="159" t="s">
        <v>185</v>
      </c>
      <c r="B22" s="131" t="s">
        <v>8</v>
      </c>
      <c r="C22" s="131" t="s">
        <v>8</v>
      </c>
      <c r="D22" s="131" t="s">
        <v>8</v>
      </c>
      <c r="E22" s="131" t="s">
        <v>8</v>
      </c>
      <c r="F22" s="131" t="s">
        <v>8</v>
      </c>
      <c r="G22" s="116">
        <f>'Исходные данные'!C24</f>
        <v>580</v>
      </c>
      <c r="H22" s="42">
        <f>'Исходные данные'!F24</f>
        <v>1833671</v>
      </c>
      <c r="I22" s="118">
        <f>'Расчет КРП'!G20</f>
        <v>4.0063131313131315</v>
      </c>
      <c r="J22" s="119" t="s">
        <v>8</v>
      </c>
      <c r="K22" s="120">
        <f t="shared" si="22"/>
        <v>0.41711275746871529</v>
      </c>
      <c r="L22" s="121">
        <f t="shared" si="23"/>
        <v>51637.004917861253</v>
      </c>
      <c r="M22" s="122">
        <f t="shared" si="24"/>
        <v>0.42885884142200614</v>
      </c>
      <c r="N22" s="123" t="s">
        <v>8</v>
      </c>
      <c r="O22" s="124">
        <f t="shared" si="25"/>
        <v>-0.15747049353797993</v>
      </c>
      <c r="P22" s="29">
        <f t="shared" si="26"/>
        <v>0</v>
      </c>
      <c r="Q22" s="125">
        <f t="shared" si="27"/>
        <v>0</v>
      </c>
      <c r="R22" s="136" t="s">
        <v>8</v>
      </c>
      <c r="S22" s="123" t="s">
        <v>8</v>
      </c>
      <c r="T22" s="126">
        <f t="shared" si="28"/>
        <v>0.42885884142200614</v>
      </c>
      <c r="U22" s="124">
        <f t="shared" si="29"/>
        <v>-8.3115016313457191E-2</v>
      </c>
      <c r="V22" s="46">
        <f t="shared" si="30"/>
        <v>0</v>
      </c>
      <c r="W22" s="125">
        <f t="shared" si="31"/>
        <v>0</v>
      </c>
      <c r="X22" s="115" t="s">
        <v>8</v>
      </c>
      <c r="Y22" s="123" t="s">
        <v>8</v>
      </c>
      <c r="Z22" s="126">
        <f t="shared" si="32"/>
        <v>0.42885884142200614</v>
      </c>
      <c r="AA22" s="124">
        <f t="shared" si="33"/>
        <v>-1.9007327561633036E-2</v>
      </c>
      <c r="AB22" s="46">
        <f t="shared" si="34"/>
        <v>0</v>
      </c>
      <c r="AC22" s="125">
        <f t="shared" si="35"/>
        <v>0</v>
      </c>
      <c r="AD22" s="115" t="s">
        <v>8</v>
      </c>
      <c r="AE22" s="123" t="s">
        <v>8</v>
      </c>
      <c r="AF22" s="126">
        <f t="shared" si="36"/>
        <v>0.42885884142200614</v>
      </c>
      <c r="AG22" s="124">
        <f t="shared" si="37"/>
        <v>3.7855690376612239E-2</v>
      </c>
      <c r="AH22" s="46">
        <f t="shared" si="38"/>
        <v>240324.71339609585</v>
      </c>
      <c r="AI22" s="125">
        <f t="shared" si="39"/>
        <v>240324.71339609585</v>
      </c>
      <c r="AJ22" s="115" t="s">
        <v>8</v>
      </c>
      <c r="AK22" s="123" t="s">
        <v>8</v>
      </c>
      <c r="AL22" s="126">
        <f t="shared" si="40"/>
        <v>0.4835265020288021</v>
      </c>
      <c r="AM22" s="124">
        <f t="shared" si="41"/>
        <v>3.437408820536747E-2</v>
      </c>
      <c r="AN22" s="46">
        <f t="shared" si="42"/>
        <v>234048.14794831479</v>
      </c>
      <c r="AO22" s="125">
        <f t="shared" si="43"/>
        <v>234048.14794831479</v>
      </c>
      <c r="AP22" s="115" t="s">
        <v>8</v>
      </c>
      <c r="AQ22" s="123" t="s">
        <v>8</v>
      </c>
      <c r="AR22" s="126">
        <f t="shared" si="44"/>
        <v>0.53676640622708383</v>
      </c>
      <c r="AS22" s="124">
        <f t="shared" si="45"/>
        <v>2.7223657600028206E-2</v>
      </c>
      <c r="AT22" s="46">
        <f t="shared" si="46"/>
        <v>196663.51193259965</v>
      </c>
      <c r="AU22" s="125">
        <f t="shared" si="47"/>
        <v>196663.51193259965</v>
      </c>
      <c r="AV22" s="115" t="s">
        <v>8</v>
      </c>
      <c r="AW22" s="123" t="s">
        <v>8</v>
      </c>
      <c r="AX22" s="126">
        <f t="shared" si="48"/>
        <v>0.58150227201526961</v>
      </c>
      <c r="AY22" s="124">
        <f t="shared" si="49"/>
        <v>2.2972081295266178E-2</v>
      </c>
      <c r="AZ22" s="46">
        <f t="shared" si="50"/>
        <v>174320.32942019502</v>
      </c>
      <c r="BA22" s="125">
        <f t="shared" si="51"/>
        <v>174320.32942019502</v>
      </c>
      <c r="BB22" s="115" t="s">
        <v>8</v>
      </c>
      <c r="BC22" s="123" t="s">
        <v>8</v>
      </c>
      <c r="BD22" s="126">
        <f t="shared" si="52"/>
        <v>0.62115564128779033</v>
      </c>
      <c r="BE22" s="124">
        <f t="shared" si="53"/>
        <v>2.1248629171934597E-2</v>
      </c>
      <c r="BF22" s="46">
        <f t="shared" si="54"/>
        <v>174112.18858569814</v>
      </c>
      <c r="BG22" s="125">
        <f t="shared" si="55"/>
        <v>130319.9071183435</v>
      </c>
      <c r="BH22" s="115" t="s">
        <v>8</v>
      </c>
      <c r="BI22" s="123" t="s">
        <v>8</v>
      </c>
      <c r="BJ22" s="126">
        <f t="shared" si="56"/>
        <v>0.65080005176884115</v>
      </c>
      <c r="BK22" s="124">
        <f t="shared" si="57"/>
        <v>1.9320293159569402E-2</v>
      </c>
      <c r="BL22" s="46">
        <f t="shared" si="58"/>
        <v>164871.34592839619</v>
      </c>
      <c r="BM22" s="125">
        <f t="shared" si="59"/>
        <v>0</v>
      </c>
      <c r="BN22" s="115" t="s">
        <v>8</v>
      </c>
      <c r="BO22" s="123" t="s">
        <v>8</v>
      </c>
      <c r="BP22" s="126">
        <f t="shared" si="60"/>
        <v>0.65080005176884115</v>
      </c>
      <c r="BQ22" s="124">
        <f t="shared" si="61"/>
        <v>1.9320293159569402E-2</v>
      </c>
      <c r="BR22" s="46">
        <f t="shared" si="62"/>
        <v>164871.34592839619</v>
      </c>
      <c r="BS22" s="127">
        <f t="shared" si="63"/>
        <v>0</v>
      </c>
      <c r="BT22" s="115" t="s">
        <v>8</v>
      </c>
      <c r="BU22" s="123" t="s">
        <v>8</v>
      </c>
      <c r="BV22" s="126">
        <f t="shared" si="64"/>
        <v>0.65080005176884115</v>
      </c>
      <c r="BW22" s="124">
        <f t="shared" si="65"/>
        <v>1.9320293159569402E-2</v>
      </c>
      <c r="BX22" s="46">
        <f t="shared" si="66"/>
        <v>164871.34592839619</v>
      </c>
      <c r="BY22" s="127">
        <f t="shared" si="67"/>
        <v>0</v>
      </c>
      <c r="BZ22" s="115" t="s">
        <v>8</v>
      </c>
      <c r="CA22" s="123" t="s">
        <v>8</v>
      </c>
      <c r="CB22" s="126">
        <f t="shared" si="68"/>
        <v>0.65080005176884115</v>
      </c>
      <c r="CC22" s="124">
        <f t="shared" si="69"/>
        <v>1.9320293159569402E-2</v>
      </c>
      <c r="CD22" s="46">
        <f t="shared" si="70"/>
        <v>164871.34592839619</v>
      </c>
      <c r="CE22" s="127">
        <f t="shared" si="71"/>
        <v>0</v>
      </c>
      <c r="CF22" s="115" t="s">
        <v>8</v>
      </c>
      <c r="CG22" s="123" t="s">
        <v>8</v>
      </c>
      <c r="CH22" s="126">
        <f t="shared" si="72"/>
        <v>0.65080005176884115</v>
      </c>
      <c r="CI22" s="124">
        <f t="shared" si="73"/>
        <v>1.9320293159569402E-2</v>
      </c>
      <c r="CJ22" s="46">
        <f t="shared" si="74"/>
        <v>164871.34592839619</v>
      </c>
      <c r="CK22" s="127">
        <f t="shared" si="75"/>
        <v>0</v>
      </c>
      <c r="CL22" s="115" t="s">
        <v>8</v>
      </c>
      <c r="CM22" s="123" t="s">
        <v>8</v>
      </c>
      <c r="CN22" s="126">
        <f t="shared" si="76"/>
        <v>0.65080005176884115</v>
      </c>
      <c r="CO22" s="124">
        <f t="shared" si="77"/>
        <v>1.9320293159569402E-2</v>
      </c>
      <c r="CP22" s="46">
        <f t="shared" si="78"/>
        <v>164871.34592839619</v>
      </c>
      <c r="CQ22" s="127">
        <f t="shared" si="79"/>
        <v>0</v>
      </c>
      <c r="CR22" s="115" t="s">
        <v>8</v>
      </c>
      <c r="CS22" s="123" t="s">
        <v>8</v>
      </c>
      <c r="CT22" s="126">
        <f t="shared" si="80"/>
        <v>0.65080005176884115</v>
      </c>
      <c r="CU22" s="124">
        <f t="shared" si="81"/>
        <v>1.9320293159569402E-2</v>
      </c>
      <c r="CV22" s="46">
        <f t="shared" si="82"/>
        <v>164871.34592839619</v>
      </c>
      <c r="CW22" s="127">
        <f t="shared" si="83"/>
        <v>0</v>
      </c>
      <c r="CX22" s="115" t="s">
        <v>8</v>
      </c>
      <c r="CY22" s="123" t="s">
        <v>8</v>
      </c>
      <c r="CZ22" s="126">
        <f t="shared" si="84"/>
        <v>0.65080005176884115</v>
      </c>
      <c r="DA22" s="124">
        <f t="shared" si="85"/>
        <v>1.9320293159569402E-2</v>
      </c>
      <c r="DB22" s="46">
        <f t="shared" si="86"/>
        <v>164871.34592839619</v>
      </c>
      <c r="DC22" s="127">
        <f t="shared" si="87"/>
        <v>0</v>
      </c>
      <c r="DD22" s="115" t="s">
        <v>8</v>
      </c>
      <c r="DE22" s="123" t="s">
        <v>8</v>
      </c>
      <c r="DF22" s="126">
        <f t="shared" si="88"/>
        <v>0.65080005176884115</v>
      </c>
      <c r="DG22" s="124">
        <f t="shared" si="89"/>
        <v>1.9320293159569402E-2</v>
      </c>
      <c r="DH22" s="46">
        <f t="shared" si="90"/>
        <v>164871.34592839619</v>
      </c>
      <c r="DI22" s="127">
        <f t="shared" si="91"/>
        <v>0</v>
      </c>
      <c r="DJ22" s="115" t="s">
        <v>8</v>
      </c>
      <c r="DK22" s="123" t="s">
        <v>8</v>
      </c>
      <c r="DL22" s="126">
        <f t="shared" si="92"/>
        <v>0.65080005176884115</v>
      </c>
      <c r="DM22" s="124">
        <f t="shared" si="93"/>
        <v>1.9320293159569402E-2</v>
      </c>
      <c r="DN22" s="46">
        <f t="shared" si="94"/>
        <v>164871.34592839619</v>
      </c>
      <c r="DO22" s="127">
        <f t="shared" si="95"/>
        <v>0</v>
      </c>
      <c r="DP22" s="115" t="s">
        <v>8</v>
      </c>
      <c r="DQ22" s="123" t="s">
        <v>8</v>
      </c>
      <c r="DR22" s="126">
        <f t="shared" si="96"/>
        <v>0.65080005176884115</v>
      </c>
      <c r="DS22" s="124">
        <f t="shared" si="97"/>
        <v>1.9320293159569402E-2</v>
      </c>
      <c r="DT22" s="46">
        <f t="shared" si="98"/>
        <v>164871.34592839619</v>
      </c>
      <c r="DU22" s="127">
        <f t="shared" si="99"/>
        <v>0</v>
      </c>
      <c r="DV22" s="115" t="s">
        <v>8</v>
      </c>
      <c r="DW22" s="123" t="s">
        <v>8</v>
      </c>
      <c r="DX22" s="30">
        <f t="shared" si="100"/>
        <v>0.65080005176884115</v>
      </c>
      <c r="DY22" s="124">
        <f t="shared" si="101"/>
        <v>1.9320293159569402E-2</v>
      </c>
      <c r="DZ22" s="29">
        <f t="shared" si="102"/>
        <v>164871.34592839619</v>
      </c>
      <c r="EA22" s="125">
        <f t="shared" si="103"/>
        <v>0</v>
      </c>
      <c r="EB22" s="115" t="s">
        <v>8</v>
      </c>
      <c r="EC22" s="123" t="s">
        <v>8</v>
      </c>
      <c r="ED22" s="30">
        <f t="shared" si="104"/>
        <v>0.65080005176884115</v>
      </c>
      <c r="EE22" s="124">
        <f t="shared" si="105"/>
        <v>1.9320293159569402E-2</v>
      </c>
      <c r="EF22" s="29">
        <f t="shared" si="106"/>
        <v>164871.34592839619</v>
      </c>
      <c r="EG22" s="125">
        <f t="shared" si="107"/>
        <v>0</v>
      </c>
      <c r="EH22" s="115" t="s">
        <v>8</v>
      </c>
      <c r="EI22" s="123" t="s">
        <v>8</v>
      </c>
      <c r="EJ22" s="30">
        <f t="shared" si="108"/>
        <v>0.65080005176884115</v>
      </c>
      <c r="EK22" s="124">
        <f t="shared" si="109"/>
        <v>1.9320293159569402E-2</v>
      </c>
      <c r="EL22" s="29">
        <f t="shared" si="110"/>
        <v>164871.34592839619</v>
      </c>
      <c r="EM22" s="125">
        <f t="shared" si="111"/>
        <v>0</v>
      </c>
      <c r="EN22" s="115" t="s">
        <v>8</v>
      </c>
      <c r="EO22" s="123" t="s">
        <v>8</v>
      </c>
      <c r="EP22" s="30">
        <f t="shared" si="112"/>
        <v>0.65080005176884115</v>
      </c>
      <c r="EQ22" s="124">
        <f t="shared" si="113"/>
        <v>1.9320293159569402E-2</v>
      </c>
      <c r="ER22" s="29">
        <f t="shared" si="114"/>
        <v>164871.34592839619</v>
      </c>
      <c r="ES22" s="125">
        <f t="shared" si="115"/>
        <v>0</v>
      </c>
      <c r="ET22" s="115" t="s">
        <v>8</v>
      </c>
      <c r="EU22" s="123" t="s">
        <v>8</v>
      </c>
      <c r="EV22" s="30">
        <f t="shared" si="116"/>
        <v>0.65080005176884115</v>
      </c>
      <c r="EW22" s="124">
        <f t="shared" si="117"/>
        <v>1.9320293159569402E-2</v>
      </c>
      <c r="EX22" s="29">
        <f t="shared" si="118"/>
        <v>164871.34592839619</v>
      </c>
      <c r="EY22" s="125">
        <f t="shared" si="119"/>
        <v>0</v>
      </c>
      <c r="EZ22" s="115" t="s">
        <v>8</v>
      </c>
      <c r="FA22" s="123" t="s">
        <v>8</v>
      </c>
      <c r="FB22" s="30">
        <f t="shared" si="120"/>
        <v>0.65080005176884115</v>
      </c>
      <c r="FC22" s="124">
        <f t="shared" si="121"/>
        <v>1.9320293159569402E-2</v>
      </c>
      <c r="FD22" s="29">
        <f t="shared" si="122"/>
        <v>164871.34592839619</v>
      </c>
      <c r="FE22" s="125">
        <f t="shared" si="123"/>
        <v>0</v>
      </c>
      <c r="FF22" s="115" t="s">
        <v>8</v>
      </c>
      <c r="FG22" s="123" t="s">
        <v>8</v>
      </c>
      <c r="FH22" s="30">
        <f t="shared" si="124"/>
        <v>0.65080005176884115</v>
      </c>
      <c r="FI22" s="124">
        <f t="shared" si="125"/>
        <v>1.9320293159569402E-2</v>
      </c>
      <c r="FJ22" s="29">
        <f t="shared" si="126"/>
        <v>164871.34592839619</v>
      </c>
      <c r="FK22" s="125">
        <f t="shared" si="127"/>
        <v>0</v>
      </c>
      <c r="FL22" s="115" t="s">
        <v>8</v>
      </c>
      <c r="FM22" s="123" t="s">
        <v>8</v>
      </c>
      <c r="FN22" s="30">
        <f t="shared" si="128"/>
        <v>0.65080005176884115</v>
      </c>
      <c r="FO22" s="124">
        <f t="shared" si="129"/>
        <v>1.9320293159569402E-2</v>
      </c>
      <c r="FP22" s="29">
        <f t="shared" si="130"/>
        <v>164871.34592839619</v>
      </c>
      <c r="FQ22" s="125">
        <f t="shared" si="131"/>
        <v>0</v>
      </c>
      <c r="FR22" s="115" t="s">
        <v>8</v>
      </c>
      <c r="FS22" s="123" t="s">
        <v>8</v>
      </c>
      <c r="FT22" s="30">
        <f t="shared" si="132"/>
        <v>0.65080005176884115</v>
      </c>
      <c r="FU22" s="124">
        <f t="shared" si="133"/>
        <v>1.9320293159569402E-2</v>
      </c>
      <c r="FV22" s="29">
        <f t="shared" si="134"/>
        <v>164871.34592839619</v>
      </c>
      <c r="FW22" s="125">
        <f t="shared" si="135"/>
        <v>0</v>
      </c>
      <c r="FX22" s="115" t="s">
        <v>8</v>
      </c>
      <c r="FY22" s="123" t="s">
        <v>8</v>
      </c>
      <c r="FZ22" s="30">
        <f t="shared" si="136"/>
        <v>0.65080005176884115</v>
      </c>
      <c r="GA22" s="124">
        <f t="shared" si="137"/>
        <v>1.9320293159569402E-2</v>
      </c>
      <c r="GB22" s="29">
        <f t="shared" si="138"/>
        <v>164871.34592839619</v>
      </c>
      <c r="GC22" s="125">
        <f t="shared" si="139"/>
        <v>0</v>
      </c>
      <c r="GD22" s="115" t="s">
        <v>8</v>
      </c>
      <c r="GE22" s="123" t="s">
        <v>8</v>
      </c>
      <c r="GF22" s="30">
        <f t="shared" si="140"/>
        <v>0.65080005176884115</v>
      </c>
      <c r="GG22" s="124">
        <f t="shared" si="141"/>
        <v>1.9320293159569402E-2</v>
      </c>
      <c r="GH22" s="29">
        <f t="shared" si="142"/>
        <v>164871.34592839619</v>
      </c>
      <c r="GI22" s="127">
        <f t="shared" si="143"/>
        <v>0</v>
      </c>
      <c r="GJ22" s="142">
        <f t="shared" si="146"/>
        <v>975676.60981554887</v>
      </c>
      <c r="GK22" s="238">
        <f t="shared" si="144"/>
        <v>1027313.6147334101</v>
      </c>
      <c r="GL22" s="196">
        <f t="shared" si="145"/>
        <v>0.65080005176884115</v>
      </c>
      <c r="GM22" s="86">
        <v>1027313.62</v>
      </c>
      <c r="GN22" s="244"/>
    </row>
    <row r="23" spans="1:196" s="20" customFormat="1" x14ac:dyDescent="0.25">
      <c r="A23" s="159" t="s">
        <v>186</v>
      </c>
      <c r="B23" s="131" t="s">
        <v>8</v>
      </c>
      <c r="C23" s="131" t="s">
        <v>8</v>
      </c>
      <c r="D23" s="131" t="s">
        <v>8</v>
      </c>
      <c r="E23" s="131" t="s">
        <v>8</v>
      </c>
      <c r="F23" s="131" t="s">
        <v>8</v>
      </c>
      <c r="G23" s="116">
        <f>'Исходные данные'!C25</f>
        <v>435</v>
      </c>
      <c r="H23" s="42">
        <f>'Исходные данные'!F25</f>
        <v>507432</v>
      </c>
      <c r="I23" s="118">
        <f>'Расчет КРП'!G21</f>
        <v>4.1130734430557894</v>
      </c>
      <c r="J23" s="119" t="s">
        <v>8</v>
      </c>
      <c r="K23" s="120">
        <f t="shared" si="22"/>
        <v>0.14990878033938687</v>
      </c>
      <c r="L23" s="121">
        <f t="shared" si="23"/>
        <v>38727.75368839594</v>
      </c>
      <c r="M23" s="122">
        <f t="shared" si="24"/>
        <v>0.16134997900386136</v>
      </c>
      <c r="N23" s="123" t="s">
        <v>8</v>
      </c>
      <c r="O23" s="124">
        <f t="shared" si="25"/>
        <v>0.11003836888016486</v>
      </c>
      <c r="P23" s="29">
        <f t="shared" si="26"/>
        <v>390001.13204353343</v>
      </c>
      <c r="Q23" s="125">
        <f t="shared" si="27"/>
        <v>390001.13204353343</v>
      </c>
      <c r="R23" s="136" t="s">
        <v>8</v>
      </c>
      <c r="S23" s="123" t="s">
        <v>8</v>
      </c>
      <c r="T23" s="126">
        <f t="shared" si="28"/>
        <v>0.27656658740779777</v>
      </c>
      <c r="U23" s="124">
        <f t="shared" si="29"/>
        <v>6.9177237700751182E-2</v>
      </c>
      <c r="V23" s="46">
        <f t="shared" si="30"/>
        <v>280570.56529252935</v>
      </c>
      <c r="W23" s="125">
        <f t="shared" si="31"/>
        <v>280570.56529252935</v>
      </c>
      <c r="X23" s="115" t="s">
        <v>8</v>
      </c>
      <c r="Y23" s="123" t="s">
        <v>8</v>
      </c>
      <c r="Z23" s="126">
        <f t="shared" si="32"/>
        <v>0.35945452360838304</v>
      </c>
      <c r="AA23" s="124">
        <f t="shared" si="33"/>
        <v>5.039699025199007E-2</v>
      </c>
      <c r="AB23" s="46">
        <f t="shared" si="34"/>
        <v>226542.74575193226</v>
      </c>
      <c r="AC23" s="125">
        <f t="shared" si="35"/>
        <v>226542.74575193226</v>
      </c>
      <c r="AD23" s="115" t="s">
        <v>8</v>
      </c>
      <c r="AE23" s="123" t="s">
        <v>8</v>
      </c>
      <c r="AF23" s="126">
        <f t="shared" si="36"/>
        <v>0.42638121863433331</v>
      </c>
      <c r="AG23" s="124">
        <f t="shared" si="37"/>
        <v>4.0333313164285067E-2</v>
      </c>
      <c r="AH23" s="46">
        <f t="shared" si="38"/>
        <v>197157.81564136114</v>
      </c>
      <c r="AI23" s="125">
        <f t="shared" si="39"/>
        <v>197157.81564136114</v>
      </c>
      <c r="AJ23" s="115" t="s">
        <v>8</v>
      </c>
      <c r="AK23" s="123" t="s">
        <v>8</v>
      </c>
      <c r="AL23" s="126">
        <f t="shared" si="40"/>
        <v>0.48462683120345418</v>
      </c>
      <c r="AM23" s="124">
        <f t="shared" si="41"/>
        <v>3.3273759030715389E-2</v>
      </c>
      <c r="AN23" s="46">
        <f t="shared" si="42"/>
        <v>174445.08036219203</v>
      </c>
      <c r="AO23" s="125">
        <f t="shared" si="43"/>
        <v>174445.08036219203</v>
      </c>
      <c r="AP23" s="115" t="s">
        <v>8</v>
      </c>
      <c r="AQ23" s="123" t="s">
        <v>8</v>
      </c>
      <c r="AR23" s="126">
        <f t="shared" si="44"/>
        <v>0.53616250343796557</v>
      </c>
      <c r="AS23" s="124">
        <f t="shared" si="45"/>
        <v>2.7827560389146466E-2</v>
      </c>
      <c r="AT23" s="46">
        <f t="shared" si="46"/>
        <v>154787.28674277585</v>
      </c>
      <c r="AU23" s="125">
        <f t="shared" si="47"/>
        <v>154787.28674277585</v>
      </c>
      <c r="AV23" s="115" t="s">
        <v>8</v>
      </c>
      <c r="AW23" s="123" t="s">
        <v>8</v>
      </c>
      <c r="AX23" s="126">
        <f t="shared" si="48"/>
        <v>0.58189074558204101</v>
      </c>
      <c r="AY23" s="124">
        <f t="shared" si="49"/>
        <v>2.258360772849477E-2</v>
      </c>
      <c r="AZ23" s="46">
        <f t="shared" si="50"/>
        <v>131954.39270139684</v>
      </c>
      <c r="BA23" s="125">
        <f t="shared" si="51"/>
        <v>131954.39270139684</v>
      </c>
      <c r="BB23" s="115" t="s">
        <v>8</v>
      </c>
      <c r="BC23" s="123" t="s">
        <v>8</v>
      </c>
      <c r="BD23" s="126">
        <f t="shared" si="52"/>
        <v>0.62087354932774652</v>
      </c>
      <c r="BE23" s="124">
        <f t="shared" si="53"/>
        <v>2.1530721131978403E-2</v>
      </c>
      <c r="BF23" s="46">
        <f t="shared" si="54"/>
        <v>135843.75268990765</v>
      </c>
      <c r="BG23" s="125">
        <f t="shared" si="55"/>
        <v>101676.65674044691</v>
      </c>
      <c r="BH23" s="115" t="s">
        <v>8</v>
      </c>
      <c r="BI23" s="123" t="s">
        <v>8</v>
      </c>
      <c r="BJ23" s="126">
        <f t="shared" si="56"/>
        <v>0.65091151224878208</v>
      </c>
      <c r="BK23" s="124">
        <f t="shared" si="57"/>
        <v>1.9208832679628474E-2</v>
      </c>
      <c r="BL23" s="46">
        <f t="shared" si="58"/>
        <v>126216.25273979864</v>
      </c>
      <c r="BM23" s="125">
        <f t="shared" si="59"/>
        <v>0</v>
      </c>
      <c r="BN23" s="115" t="s">
        <v>8</v>
      </c>
      <c r="BO23" s="123" t="s">
        <v>8</v>
      </c>
      <c r="BP23" s="126">
        <f t="shared" si="60"/>
        <v>0.65091151224878208</v>
      </c>
      <c r="BQ23" s="124">
        <f t="shared" si="61"/>
        <v>1.9208832679628474E-2</v>
      </c>
      <c r="BR23" s="46">
        <f t="shared" si="62"/>
        <v>126216.25273979864</v>
      </c>
      <c r="BS23" s="127">
        <f t="shared" si="63"/>
        <v>0</v>
      </c>
      <c r="BT23" s="115" t="s">
        <v>8</v>
      </c>
      <c r="BU23" s="123" t="s">
        <v>8</v>
      </c>
      <c r="BV23" s="126">
        <f t="shared" si="64"/>
        <v>0.65091151224878208</v>
      </c>
      <c r="BW23" s="124">
        <f t="shared" si="65"/>
        <v>1.9208832679628474E-2</v>
      </c>
      <c r="BX23" s="46">
        <f t="shared" si="66"/>
        <v>126216.25273979864</v>
      </c>
      <c r="BY23" s="127">
        <f t="shared" si="67"/>
        <v>0</v>
      </c>
      <c r="BZ23" s="115" t="s">
        <v>8</v>
      </c>
      <c r="CA23" s="123" t="s">
        <v>8</v>
      </c>
      <c r="CB23" s="126">
        <f t="shared" si="68"/>
        <v>0.65091151224878208</v>
      </c>
      <c r="CC23" s="124">
        <f t="shared" si="69"/>
        <v>1.9208832679628474E-2</v>
      </c>
      <c r="CD23" s="46">
        <f t="shared" si="70"/>
        <v>126216.25273979864</v>
      </c>
      <c r="CE23" s="127">
        <f t="shared" si="71"/>
        <v>0</v>
      </c>
      <c r="CF23" s="115" t="s">
        <v>8</v>
      </c>
      <c r="CG23" s="123" t="s">
        <v>8</v>
      </c>
      <c r="CH23" s="126">
        <f t="shared" si="72"/>
        <v>0.65091151224878208</v>
      </c>
      <c r="CI23" s="124">
        <f t="shared" si="73"/>
        <v>1.9208832679628474E-2</v>
      </c>
      <c r="CJ23" s="46">
        <f t="shared" si="74"/>
        <v>126216.25273979864</v>
      </c>
      <c r="CK23" s="127">
        <f t="shared" si="75"/>
        <v>0</v>
      </c>
      <c r="CL23" s="115" t="s">
        <v>8</v>
      </c>
      <c r="CM23" s="123" t="s">
        <v>8</v>
      </c>
      <c r="CN23" s="126">
        <f t="shared" si="76"/>
        <v>0.65091151224878208</v>
      </c>
      <c r="CO23" s="124">
        <f t="shared" si="77"/>
        <v>1.9208832679628474E-2</v>
      </c>
      <c r="CP23" s="46">
        <f t="shared" si="78"/>
        <v>126216.25273979864</v>
      </c>
      <c r="CQ23" s="127">
        <f t="shared" si="79"/>
        <v>0</v>
      </c>
      <c r="CR23" s="115" t="s">
        <v>8</v>
      </c>
      <c r="CS23" s="123" t="s">
        <v>8</v>
      </c>
      <c r="CT23" s="126">
        <f t="shared" si="80"/>
        <v>0.65091151224878208</v>
      </c>
      <c r="CU23" s="124">
        <f t="shared" si="81"/>
        <v>1.9208832679628474E-2</v>
      </c>
      <c r="CV23" s="46">
        <f t="shared" si="82"/>
        <v>126216.25273979864</v>
      </c>
      <c r="CW23" s="127">
        <f t="shared" si="83"/>
        <v>0</v>
      </c>
      <c r="CX23" s="115" t="s">
        <v>8</v>
      </c>
      <c r="CY23" s="123" t="s">
        <v>8</v>
      </c>
      <c r="CZ23" s="126">
        <f t="shared" si="84"/>
        <v>0.65091151224878208</v>
      </c>
      <c r="DA23" s="124">
        <f t="shared" si="85"/>
        <v>1.9208832679628474E-2</v>
      </c>
      <c r="DB23" s="46">
        <f t="shared" si="86"/>
        <v>126216.25273979864</v>
      </c>
      <c r="DC23" s="127">
        <f t="shared" si="87"/>
        <v>0</v>
      </c>
      <c r="DD23" s="115" t="s">
        <v>8</v>
      </c>
      <c r="DE23" s="123" t="s">
        <v>8</v>
      </c>
      <c r="DF23" s="126">
        <f t="shared" si="88"/>
        <v>0.65091151224878208</v>
      </c>
      <c r="DG23" s="124">
        <f t="shared" si="89"/>
        <v>1.9208832679628474E-2</v>
      </c>
      <c r="DH23" s="46">
        <f t="shared" si="90"/>
        <v>126216.25273979864</v>
      </c>
      <c r="DI23" s="127">
        <f t="shared" si="91"/>
        <v>0</v>
      </c>
      <c r="DJ23" s="115" t="s">
        <v>8</v>
      </c>
      <c r="DK23" s="123" t="s">
        <v>8</v>
      </c>
      <c r="DL23" s="126">
        <f t="shared" si="92"/>
        <v>0.65091151224878208</v>
      </c>
      <c r="DM23" s="124">
        <f t="shared" si="93"/>
        <v>1.9208832679628474E-2</v>
      </c>
      <c r="DN23" s="46">
        <f t="shared" si="94"/>
        <v>126216.25273979864</v>
      </c>
      <c r="DO23" s="127">
        <f t="shared" si="95"/>
        <v>0</v>
      </c>
      <c r="DP23" s="115" t="s">
        <v>8</v>
      </c>
      <c r="DQ23" s="123" t="s">
        <v>8</v>
      </c>
      <c r="DR23" s="126">
        <f t="shared" si="96"/>
        <v>0.65091151224878208</v>
      </c>
      <c r="DS23" s="124">
        <f t="shared" si="97"/>
        <v>1.9208832679628474E-2</v>
      </c>
      <c r="DT23" s="46">
        <f t="shared" si="98"/>
        <v>126216.25273979864</v>
      </c>
      <c r="DU23" s="127">
        <f t="shared" si="99"/>
        <v>0</v>
      </c>
      <c r="DV23" s="115" t="s">
        <v>8</v>
      </c>
      <c r="DW23" s="123" t="s">
        <v>8</v>
      </c>
      <c r="DX23" s="30">
        <f t="shared" si="100"/>
        <v>0.65091151224878208</v>
      </c>
      <c r="DY23" s="124">
        <f t="shared" si="101"/>
        <v>1.9208832679628474E-2</v>
      </c>
      <c r="DZ23" s="29">
        <f t="shared" si="102"/>
        <v>126216.25273979864</v>
      </c>
      <c r="EA23" s="125">
        <f t="shared" si="103"/>
        <v>0</v>
      </c>
      <c r="EB23" s="115" t="s">
        <v>8</v>
      </c>
      <c r="EC23" s="123" t="s">
        <v>8</v>
      </c>
      <c r="ED23" s="30">
        <f t="shared" si="104"/>
        <v>0.65091151224878208</v>
      </c>
      <c r="EE23" s="124">
        <f t="shared" si="105"/>
        <v>1.9208832679628474E-2</v>
      </c>
      <c r="EF23" s="29">
        <f t="shared" si="106"/>
        <v>126216.25273979864</v>
      </c>
      <c r="EG23" s="125">
        <f t="shared" si="107"/>
        <v>0</v>
      </c>
      <c r="EH23" s="115" t="s">
        <v>8</v>
      </c>
      <c r="EI23" s="123" t="s">
        <v>8</v>
      </c>
      <c r="EJ23" s="30">
        <f t="shared" si="108"/>
        <v>0.65091151224878208</v>
      </c>
      <c r="EK23" s="124">
        <f t="shared" si="109"/>
        <v>1.9208832679628474E-2</v>
      </c>
      <c r="EL23" s="29">
        <f t="shared" si="110"/>
        <v>126216.25273979864</v>
      </c>
      <c r="EM23" s="125">
        <f t="shared" si="111"/>
        <v>0</v>
      </c>
      <c r="EN23" s="115" t="s">
        <v>8</v>
      </c>
      <c r="EO23" s="123" t="s">
        <v>8</v>
      </c>
      <c r="EP23" s="30">
        <f t="shared" si="112"/>
        <v>0.65091151224878208</v>
      </c>
      <c r="EQ23" s="124">
        <f t="shared" si="113"/>
        <v>1.9208832679628474E-2</v>
      </c>
      <c r="ER23" s="29">
        <f t="shared" si="114"/>
        <v>126216.25273979864</v>
      </c>
      <c r="ES23" s="125">
        <f t="shared" si="115"/>
        <v>0</v>
      </c>
      <c r="ET23" s="115" t="s">
        <v>8</v>
      </c>
      <c r="EU23" s="123" t="s">
        <v>8</v>
      </c>
      <c r="EV23" s="30">
        <f t="shared" si="116"/>
        <v>0.65091151224878208</v>
      </c>
      <c r="EW23" s="124">
        <f t="shared" si="117"/>
        <v>1.9208832679628474E-2</v>
      </c>
      <c r="EX23" s="29">
        <f t="shared" si="118"/>
        <v>126216.25273979864</v>
      </c>
      <c r="EY23" s="125">
        <f t="shared" si="119"/>
        <v>0</v>
      </c>
      <c r="EZ23" s="115" t="s">
        <v>8</v>
      </c>
      <c r="FA23" s="123" t="s">
        <v>8</v>
      </c>
      <c r="FB23" s="30">
        <f t="shared" si="120"/>
        <v>0.65091151224878208</v>
      </c>
      <c r="FC23" s="124">
        <f t="shared" si="121"/>
        <v>1.9208832679628474E-2</v>
      </c>
      <c r="FD23" s="29">
        <f t="shared" si="122"/>
        <v>126216.25273979864</v>
      </c>
      <c r="FE23" s="125">
        <f t="shared" si="123"/>
        <v>0</v>
      </c>
      <c r="FF23" s="115" t="s">
        <v>8</v>
      </c>
      <c r="FG23" s="123" t="s">
        <v>8</v>
      </c>
      <c r="FH23" s="30">
        <f t="shared" si="124"/>
        <v>0.65091151224878208</v>
      </c>
      <c r="FI23" s="124">
        <f t="shared" si="125"/>
        <v>1.9208832679628474E-2</v>
      </c>
      <c r="FJ23" s="29">
        <f t="shared" si="126"/>
        <v>126216.25273979864</v>
      </c>
      <c r="FK23" s="125">
        <f t="shared" si="127"/>
        <v>0</v>
      </c>
      <c r="FL23" s="115" t="s">
        <v>8</v>
      </c>
      <c r="FM23" s="123" t="s">
        <v>8</v>
      </c>
      <c r="FN23" s="30">
        <f t="shared" si="128"/>
        <v>0.65091151224878208</v>
      </c>
      <c r="FO23" s="124">
        <f t="shared" si="129"/>
        <v>1.9208832679628474E-2</v>
      </c>
      <c r="FP23" s="29">
        <f t="shared" si="130"/>
        <v>126216.25273979864</v>
      </c>
      <c r="FQ23" s="125">
        <f t="shared" si="131"/>
        <v>0</v>
      </c>
      <c r="FR23" s="115" t="s">
        <v>8</v>
      </c>
      <c r="FS23" s="123" t="s">
        <v>8</v>
      </c>
      <c r="FT23" s="30">
        <f t="shared" si="132"/>
        <v>0.65091151224878208</v>
      </c>
      <c r="FU23" s="124">
        <f t="shared" si="133"/>
        <v>1.9208832679628474E-2</v>
      </c>
      <c r="FV23" s="29">
        <f t="shared" si="134"/>
        <v>126216.25273979864</v>
      </c>
      <c r="FW23" s="125">
        <f t="shared" si="135"/>
        <v>0</v>
      </c>
      <c r="FX23" s="115" t="s">
        <v>8</v>
      </c>
      <c r="FY23" s="123" t="s">
        <v>8</v>
      </c>
      <c r="FZ23" s="30">
        <f t="shared" si="136"/>
        <v>0.65091151224878208</v>
      </c>
      <c r="GA23" s="124">
        <f t="shared" si="137"/>
        <v>1.9208832679628474E-2</v>
      </c>
      <c r="GB23" s="29">
        <f t="shared" si="138"/>
        <v>126216.25273979864</v>
      </c>
      <c r="GC23" s="125">
        <f t="shared" si="139"/>
        <v>0</v>
      </c>
      <c r="GD23" s="115" t="s">
        <v>8</v>
      </c>
      <c r="GE23" s="123" t="s">
        <v>8</v>
      </c>
      <c r="GF23" s="30">
        <f t="shared" si="140"/>
        <v>0.65091151224878208</v>
      </c>
      <c r="GG23" s="124">
        <f t="shared" si="141"/>
        <v>1.9208832679628474E-2</v>
      </c>
      <c r="GH23" s="29">
        <f t="shared" si="142"/>
        <v>126216.25273979864</v>
      </c>
      <c r="GI23" s="127">
        <f t="shared" si="143"/>
        <v>0</v>
      </c>
      <c r="GJ23" s="142">
        <f t="shared" si="146"/>
        <v>1657135.6752761679</v>
      </c>
      <c r="GK23" s="238">
        <f t="shared" si="144"/>
        <v>1695863.4289645639</v>
      </c>
      <c r="GL23" s="196">
        <f t="shared" si="145"/>
        <v>0.65091151224878208</v>
      </c>
      <c r="GM23" s="86">
        <v>1695863.43</v>
      </c>
      <c r="GN23" s="244"/>
    </row>
    <row r="24" spans="1:196" s="20" customFormat="1" x14ac:dyDescent="0.25">
      <c r="A24" s="159" t="s">
        <v>187</v>
      </c>
      <c r="B24" s="131" t="s">
        <v>8</v>
      </c>
      <c r="C24" s="131" t="s">
        <v>8</v>
      </c>
      <c r="D24" s="131" t="s">
        <v>8</v>
      </c>
      <c r="E24" s="131" t="s">
        <v>8</v>
      </c>
      <c r="F24" s="131" t="s">
        <v>8</v>
      </c>
      <c r="G24" s="116">
        <f>'Исходные данные'!C26</f>
        <v>464</v>
      </c>
      <c r="H24" s="42">
        <f>'Исходные данные'!F26</f>
        <v>1108569</v>
      </c>
      <c r="I24" s="118">
        <f>'Расчет КРП'!G22</f>
        <v>4.3299536869564328</v>
      </c>
      <c r="J24" s="119" t="s">
        <v>8</v>
      </c>
      <c r="K24" s="120">
        <f t="shared" si="22"/>
        <v>0.29165299369071435</v>
      </c>
      <c r="L24" s="121">
        <f t="shared" si="23"/>
        <v>41309.603934289</v>
      </c>
      <c r="M24" s="122">
        <f t="shared" si="24"/>
        <v>0.30252112157054228</v>
      </c>
      <c r="N24" s="123" t="s">
        <v>8</v>
      </c>
      <c r="O24" s="124">
        <f t="shared" si="25"/>
        <v>-3.1132773686516069E-2</v>
      </c>
      <c r="P24" s="29">
        <f t="shared" si="26"/>
        <v>0</v>
      </c>
      <c r="Q24" s="125">
        <f t="shared" si="27"/>
        <v>0</v>
      </c>
      <c r="R24" s="136" t="s">
        <v>8</v>
      </c>
      <c r="S24" s="123" t="s">
        <v>8</v>
      </c>
      <c r="T24" s="126">
        <f t="shared" si="28"/>
        <v>0.30252112157054228</v>
      </c>
      <c r="U24" s="124">
        <f t="shared" si="29"/>
        <v>4.3222703538006668E-2</v>
      </c>
      <c r="V24" s="46">
        <f t="shared" si="30"/>
        <v>196850.41258693804</v>
      </c>
      <c r="W24" s="125">
        <f t="shared" si="31"/>
        <v>196850.41258693804</v>
      </c>
      <c r="X24" s="115" t="s">
        <v>8</v>
      </c>
      <c r="Y24" s="123" t="s">
        <v>8</v>
      </c>
      <c r="Z24" s="126">
        <f t="shared" si="32"/>
        <v>0.3543104212354552</v>
      </c>
      <c r="AA24" s="124">
        <f t="shared" si="33"/>
        <v>5.5541092624917909E-2</v>
      </c>
      <c r="AB24" s="46">
        <f t="shared" si="34"/>
        <v>280353.18134978181</v>
      </c>
      <c r="AC24" s="125">
        <f t="shared" si="35"/>
        <v>280353.18134978181</v>
      </c>
      <c r="AD24" s="115" t="s">
        <v>8</v>
      </c>
      <c r="AE24" s="123" t="s">
        <v>8</v>
      </c>
      <c r="AF24" s="126">
        <f t="shared" si="36"/>
        <v>0.4280684323573426</v>
      </c>
      <c r="AG24" s="124">
        <f t="shared" si="37"/>
        <v>3.8646099441275783E-2</v>
      </c>
      <c r="AH24" s="46">
        <f t="shared" si="38"/>
        <v>212129.60188696979</v>
      </c>
      <c r="AI24" s="125">
        <f t="shared" si="39"/>
        <v>212129.60188696979</v>
      </c>
      <c r="AJ24" s="115" t="s">
        <v>8</v>
      </c>
      <c r="AK24" s="123" t="s">
        <v>8</v>
      </c>
      <c r="AL24" s="126">
        <f t="shared" si="40"/>
        <v>0.4838775280841347</v>
      </c>
      <c r="AM24" s="124">
        <f t="shared" si="41"/>
        <v>3.4023062150034866E-2</v>
      </c>
      <c r="AN24" s="46">
        <f t="shared" si="42"/>
        <v>200297.61033714339</v>
      </c>
      <c r="AO24" s="125">
        <f t="shared" si="43"/>
        <v>200297.61033714339</v>
      </c>
      <c r="AP24" s="115" t="s">
        <v>8</v>
      </c>
      <c r="AQ24" s="123" t="s">
        <v>8</v>
      </c>
      <c r="AR24" s="126">
        <f t="shared" si="44"/>
        <v>0.5365737496850671</v>
      </c>
      <c r="AS24" s="124">
        <f t="shared" si="45"/>
        <v>2.7416314142044929E-2</v>
      </c>
      <c r="AT24" s="46">
        <f t="shared" si="46"/>
        <v>171243.7508302957</v>
      </c>
      <c r="AU24" s="125">
        <f t="shared" si="47"/>
        <v>171243.7508302957</v>
      </c>
      <c r="AV24" s="115" t="s">
        <v>8</v>
      </c>
      <c r="AW24" s="123" t="s">
        <v>8</v>
      </c>
      <c r="AX24" s="126">
        <f t="shared" si="48"/>
        <v>0.58162620251432928</v>
      </c>
      <c r="AY24" s="124">
        <f t="shared" si="49"/>
        <v>2.2848150796206501E-2</v>
      </c>
      <c r="AZ24" s="46">
        <f t="shared" si="50"/>
        <v>149908.78957222847</v>
      </c>
      <c r="BA24" s="125">
        <f t="shared" si="51"/>
        <v>149908.78957222847</v>
      </c>
      <c r="BB24" s="115" t="s">
        <v>8</v>
      </c>
      <c r="BC24" s="123" t="s">
        <v>8</v>
      </c>
      <c r="BD24" s="126">
        <f t="shared" si="52"/>
        <v>0.62106564855629143</v>
      </c>
      <c r="BE24" s="124">
        <f t="shared" si="53"/>
        <v>2.1338621903433497E-2</v>
      </c>
      <c r="BF24" s="46">
        <f t="shared" si="54"/>
        <v>151179.52386654189</v>
      </c>
      <c r="BG24" s="125">
        <f t="shared" si="55"/>
        <v>113155.2114100613</v>
      </c>
      <c r="BH24" s="115" t="s">
        <v>8</v>
      </c>
      <c r="BI24" s="123" t="s">
        <v>8</v>
      </c>
      <c r="BJ24" s="126">
        <f t="shared" si="56"/>
        <v>0.65083560979411259</v>
      </c>
      <c r="BK24" s="124">
        <f t="shared" si="57"/>
        <v>1.9284735134297959E-2</v>
      </c>
      <c r="BL24" s="46">
        <f t="shared" si="58"/>
        <v>142289.71105158009</v>
      </c>
      <c r="BM24" s="125">
        <f t="shared" si="59"/>
        <v>0</v>
      </c>
      <c r="BN24" s="115" t="s">
        <v>8</v>
      </c>
      <c r="BO24" s="123" t="s">
        <v>8</v>
      </c>
      <c r="BP24" s="126">
        <f t="shared" si="60"/>
        <v>0.65083560979411259</v>
      </c>
      <c r="BQ24" s="124">
        <f t="shared" si="61"/>
        <v>1.9284735134297959E-2</v>
      </c>
      <c r="BR24" s="46">
        <f t="shared" si="62"/>
        <v>142289.71105158009</v>
      </c>
      <c r="BS24" s="127">
        <f t="shared" si="63"/>
        <v>0</v>
      </c>
      <c r="BT24" s="115" t="s">
        <v>8</v>
      </c>
      <c r="BU24" s="123" t="s">
        <v>8</v>
      </c>
      <c r="BV24" s="126">
        <f t="shared" si="64"/>
        <v>0.65083560979411259</v>
      </c>
      <c r="BW24" s="124">
        <f t="shared" si="65"/>
        <v>1.9284735134297959E-2</v>
      </c>
      <c r="BX24" s="46">
        <f t="shared" si="66"/>
        <v>142289.71105158009</v>
      </c>
      <c r="BY24" s="127">
        <f t="shared" si="67"/>
        <v>0</v>
      </c>
      <c r="BZ24" s="115" t="s">
        <v>8</v>
      </c>
      <c r="CA24" s="123" t="s">
        <v>8</v>
      </c>
      <c r="CB24" s="126">
        <f t="shared" si="68"/>
        <v>0.65083560979411259</v>
      </c>
      <c r="CC24" s="124">
        <f t="shared" si="69"/>
        <v>1.9284735134297959E-2</v>
      </c>
      <c r="CD24" s="46">
        <f t="shared" si="70"/>
        <v>142289.71105158009</v>
      </c>
      <c r="CE24" s="127">
        <f t="shared" si="71"/>
        <v>0</v>
      </c>
      <c r="CF24" s="115" t="s">
        <v>8</v>
      </c>
      <c r="CG24" s="123" t="s">
        <v>8</v>
      </c>
      <c r="CH24" s="126">
        <f t="shared" si="72"/>
        <v>0.65083560979411259</v>
      </c>
      <c r="CI24" s="124">
        <f t="shared" si="73"/>
        <v>1.9284735134297959E-2</v>
      </c>
      <c r="CJ24" s="46">
        <f t="shared" si="74"/>
        <v>142289.71105158009</v>
      </c>
      <c r="CK24" s="127">
        <f t="shared" si="75"/>
        <v>0</v>
      </c>
      <c r="CL24" s="115" t="s">
        <v>8</v>
      </c>
      <c r="CM24" s="123" t="s">
        <v>8</v>
      </c>
      <c r="CN24" s="126">
        <f t="shared" si="76"/>
        <v>0.65083560979411259</v>
      </c>
      <c r="CO24" s="124">
        <f t="shared" si="77"/>
        <v>1.9284735134297959E-2</v>
      </c>
      <c r="CP24" s="46">
        <f t="shared" si="78"/>
        <v>142289.71105158009</v>
      </c>
      <c r="CQ24" s="127">
        <f t="shared" si="79"/>
        <v>0</v>
      </c>
      <c r="CR24" s="115" t="s">
        <v>8</v>
      </c>
      <c r="CS24" s="123" t="s">
        <v>8</v>
      </c>
      <c r="CT24" s="126">
        <f t="shared" si="80"/>
        <v>0.65083560979411259</v>
      </c>
      <c r="CU24" s="124">
        <f t="shared" si="81"/>
        <v>1.9284735134297959E-2</v>
      </c>
      <c r="CV24" s="46">
        <f t="shared" si="82"/>
        <v>142289.71105158009</v>
      </c>
      <c r="CW24" s="127">
        <f t="shared" si="83"/>
        <v>0</v>
      </c>
      <c r="CX24" s="115" t="s">
        <v>8</v>
      </c>
      <c r="CY24" s="123" t="s">
        <v>8</v>
      </c>
      <c r="CZ24" s="126">
        <f t="shared" si="84"/>
        <v>0.65083560979411259</v>
      </c>
      <c r="DA24" s="124">
        <f t="shared" si="85"/>
        <v>1.9284735134297959E-2</v>
      </c>
      <c r="DB24" s="46">
        <f t="shared" si="86"/>
        <v>142289.71105158009</v>
      </c>
      <c r="DC24" s="127">
        <f t="shared" si="87"/>
        <v>0</v>
      </c>
      <c r="DD24" s="115" t="s">
        <v>8</v>
      </c>
      <c r="DE24" s="123" t="s">
        <v>8</v>
      </c>
      <c r="DF24" s="126">
        <f t="shared" si="88"/>
        <v>0.65083560979411259</v>
      </c>
      <c r="DG24" s="124">
        <f t="shared" si="89"/>
        <v>1.9284735134297959E-2</v>
      </c>
      <c r="DH24" s="46">
        <f t="shared" si="90"/>
        <v>142289.71105158009</v>
      </c>
      <c r="DI24" s="127">
        <f t="shared" si="91"/>
        <v>0</v>
      </c>
      <c r="DJ24" s="115" t="s">
        <v>8</v>
      </c>
      <c r="DK24" s="123" t="s">
        <v>8</v>
      </c>
      <c r="DL24" s="126">
        <f t="shared" si="92"/>
        <v>0.65083560979411259</v>
      </c>
      <c r="DM24" s="124">
        <f t="shared" si="93"/>
        <v>1.9284735134297959E-2</v>
      </c>
      <c r="DN24" s="46">
        <f t="shared" si="94"/>
        <v>142289.71105158009</v>
      </c>
      <c r="DO24" s="127">
        <f t="shared" si="95"/>
        <v>0</v>
      </c>
      <c r="DP24" s="115" t="s">
        <v>8</v>
      </c>
      <c r="DQ24" s="123" t="s">
        <v>8</v>
      </c>
      <c r="DR24" s="126">
        <f t="shared" si="96"/>
        <v>0.65083560979411259</v>
      </c>
      <c r="DS24" s="124">
        <f t="shared" si="97"/>
        <v>1.9284735134297959E-2</v>
      </c>
      <c r="DT24" s="46">
        <f t="shared" si="98"/>
        <v>142289.71105158009</v>
      </c>
      <c r="DU24" s="127">
        <f t="shared" si="99"/>
        <v>0</v>
      </c>
      <c r="DV24" s="115" t="s">
        <v>8</v>
      </c>
      <c r="DW24" s="123" t="s">
        <v>8</v>
      </c>
      <c r="DX24" s="30">
        <f t="shared" si="100"/>
        <v>0.65083560979411259</v>
      </c>
      <c r="DY24" s="124">
        <f t="shared" si="101"/>
        <v>1.9284735134297959E-2</v>
      </c>
      <c r="DZ24" s="29">
        <f t="shared" si="102"/>
        <v>142289.71105158009</v>
      </c>
      <c r="EA24" s="125">
        <f t="shared" si="103"/>
        <v>0</v>
      </c>
      <c r="EB24" s="115" t="s">
        <v>8</v>
      </c>
      <c r="EC24" s="123" t="s">
        <v>8</v>
      </c>
      <c r="ED24" s="30">
        <f t="shared" si="104"/>
        <v>0.65083560979411259</v>
      </c>
      <c r="EE24" s="124">
        <f t="shared" si="105"/>
        <v>1.9284735134297959E-2</v>
      </c>
      <c r="EF24" s="29">
        <f t="shared" si="106"/>
        <v>142289.71105158009</v>
      </c>
      <c r="EG24" s="125">
        <f t="shared" si="107"/>
        <v>0</v>
      </c>
      <c r="EH24" s="115" t="s">
        <v>8</v>
      </c>
      <c r="EI24" s="123" t="s">
        <v>8</v>
      </c>
      <c r="EJ24" s="30">
        <f t="shared" si="108"/>
        <v>0.65083560979411259</v>
      </c>
      <c r="EK24" s="124">
        <f t="shared" si="109"/>
        <v>1.9284735134297959E-2</v>
      </c>
      <c r="EL24" s="29">
        <f t="shared" si="110"/>
        <v>142289.71105158009</v>
      </c>
      <c r="EM24" s="125">
        <f t="shared" si="111"/>
        <v>0</v>
      </c>
      <c r="EN24" s="115" t="s">
        <v>8</v>
      </c>
      <c r="EO24" s="123" t="s">
        <v>8</v>
      </c>
      <c r="EP24" s="30">
        <f t="shared" si="112"/>
        <v>0.65083560979411259</v>
      </c>
      <c r="EQ24" s="124">
        <f t="shared" si="113"/>
        <v>1.9284735134297959E-2</v>
      </c>
      <c r="ER24" s="29">
        <f t="shared" si="114"/>
        <v>142289.71105158009</v>
      </c>
      <c r="ES24" s="125">
        <f t="shared" si="115"/>
        <v>0</v>
      </c>
      <c r="ET24" s="115" t="s">
        <v>8</v>
      </c>
      <c r="EU24" s="123" t="s">
        <v>8</v>
      </c>
      <c r="EV24" s="30">
        <f t="shared" si="116"/>
        <v>0.65083560979411259</v>
      </c>
      <c r="EW24" s="124">
        <f t="shared" si="117"/>
        <v>1.9284735134297959E-2</v>
      </c>
      <c r="EX24" s="29">
        <f t="shared" si="118"/>
        <v>142289.71105158009</v>
      </c>
      <c r="EY24" s="125">
        <f t="shared" si="119"/>
        <v>0</v>
      </c>
      <c r="EZ24" s="115" t="s">
        <v>8</v>
      </c>
      <c r="FA24" s="123" t="s">
        <v>8</v>
      </c>
      <c r="FB24" s="30">
        <f t="shared" si="120"/>
        <v>0.65083560979411259</v>
      </c>
      <c r="FC24" s="124">
        <f t="shared" si="121"/>
        <v>1.9284735134297959E-2</v>
      </c>
      <c r="FD24" s="29">
        <f t="shared" si="122"/>
        <v>142289.71105158009</v>
      </c>
      <c r="FE24" s="125">
        <f t="shared" si="123"/>
        <v>0</v>
      </c>
      <c r="FF24" s="115" t="s">
        <v>8</v>
      </c>
      <c r="FG24" s="123" t="s">
        <v>8</v>
      </c>
      <c r="FH24" s="30">
        <f t="shared" si="124"/>
        <v>0.65083560979411259</v>
      </c>
      <c r="FI24" s="124">
        <f t="shared" si="125"/>
        <v>1.9284735134297959E-2</v>
      </c>
      <c r="FJ24" s="29">
        <f t="shared" si="126"/>
        <v>142289.71105158009</v>
      </c>
      <c r="FK24" s="125">
        <f t="shared" si="127"/>
        <v>0</v>
      </c>
      <c r="FL24" s="115" t="s">
        <v>8</v>
      </c>
      <c r="FM24" s="123" t="s">
        <v>8</v>
      </c>
      <c r="FN24" s="30">
        <f t="shared" si="128"/>
        <v>0.65083560979411259</v>
      </c>
      <c r="FO24" s="124">
        <f t="shared" si="129"/>
        <v>1.9284735134297959E-2</v>
      </c>
      <c r="FP24" s="29">
        <f t="shared" si="130"/>
        <v>142289.71105158009</v>
      </c>
      <c r="FQ24" s="125">
        <f t="shared" si="131"/>
        <v>0</v>
      </c>
      <c r="FR24" s="115" t="s">
        <v>8</v>
      </c>
      <c r="FS24" s="123" t="s">
        <v>8</v>
      </c>
      <c r="FT24" s="30">
        <f t="shared" si="132"/>
        <v>0.65083560979411259</v>
      </c>
      <c r="FU24" s="124">
        <f t="shared" si="133"/>
        <v>1.9284735134297959E-2</v>
      </c>
      <c r="FV24" s="29">
        <f t="shared" si="134"/>
        <v>142289.71105158009</v>
      </c>
      <c r="FW24" s="125">
        <f t="shared" si="135"/>
        <v>0</v>
      </c>
      <c r="FX24" s="115" t="s">
        <v>8</v>
      </c>
      <c r="FY24" s="123" t="s">
        <v>8</v>
      </c>
      <c r="FZ24" s="30">
        <f t="shared" si="136"/>
        <v>0.65083560979411259</v>
      </c>
      <c r="GA24" s="124">
        <f t="shared" si="137"/>
        <v>1.9284735134297959E-2</v>
      </c>
      <c r="GB24" s="29">
        <f t="shared" si="138"/>
        <v>142289.71105158009</v>
      </c>
      <c r="GC24" s="125">
        <f t="shared" si="139"/>
        <v>0</v>
      </c>
      <c r="GD24" s="115" t="s">
        <v>8</v>
      </c>
      <c r="GE24" s="123" t="s">
        <v>8</v>
      </c>
      <c r="GF24" s="30">
        <f t="shared" si="140"/>
        <v>0.65083560979411259</v>
      </c>
      <c r="GG24" s="124">
        <f t="shared" si="141"/>
        <v>1.9284735134297959E-2</v>
      </c>
      <c r="GH24" s="29">
        <f t="shared" si="142"/>
        <v>142289.71105158009</v>
      </c>
      <c r="GI24" s="127">
        <f t="shared" si="143"/>
        <v>0</v>
      </c>
      <c r="GJ24" s="142">
        <f t="shared" si="146"/>
        <v>1323938.5579734184</v>
      </c>
      <c r="GK24" s="238">
        <f t="shared" si="144"/>
        <v>1365248.1619077073</v>
      </c>
      <c r="GL24" s="196">
        <f t="shared" si="145"/>
        <v>0.65083560979411237</v>
      </c>
      <c r="GM24" s="86">
        <v>1365248.16</v>
      </c>
      <c r="GN24" s="244"/>
    </row>
    <row r="25" spans="1:196" s="20" customFormat="1" ht="32.25" thickBot="1" x14ac:dyDescent="0.3">
      <c r="A25" s="160" t="s">
        <v>188</v>
      </c>
      <c r="B25" s="131" t="s">
        <v>8</v>
      </c>
      <c r="C25" s="131" t="s">
        <v>8</v>
      </c>
      <c r="D25" s="131" t="s">
        <v>8</v>
      </c>
      <c r="E25" s="131" t="s">
        <v>8</v>
      </c>
      <c r="F25" s="131" t="s">
        <v>8</v>
      </c>
      <c r="G25" s="116">
        <f>'Исходные данные'!C27</f>
        <v>9670</v>
      </c>
      <c r="H25" s="42">
        <f>'Исходные данные'!F27</f>
        <v>23259822</v>
      </c>
      <c r="I25" s="118">
        <f>'Расчет КРП'!G23</f>
        <v>2.3072890395860188</v>
      </c>
      <c r="J25" s="119" t="s">
        <v>8</v>
      </c>
      <c r="K25" s="120">
        <f t="shared" si="22"/>
        <v>0.55103965091917795</v>
      </c>
      <c r="L25" s="121">
        <f t="shared" si="23"/>
        <v>860913.51302710059</v>
      </c>
      <c r="M25" s="122">
        <f t="shared" si="24"/>
        <v>0.57143522753580278</v>
      </c>
      <c r="N25" s="123" t="s">
        <v>8</v>
      </c>
      <c r="O25" s="124">
        <f t="shared" si="25"/>
        <v>-0.30004687965177657</v>
      </c>
      <c r="P25" s="29">
        <f t="shared" si="26"/>
        <v>0</v>
      </c>
      <c r="Q25" s="125">
        <f t="shared" si="27"/>
        <v>0</v>
      </c>
      <c r="R25" s="136" t="s">
        <v>8</v>
      </c>
      <c r="S25" s="123" t="s">
        <v>8</v>
      </c>
      <c r="T25" s="126">
        <f t="shared" si="28"/>
        <v>0.57143522753580278</v>
      </c>
      <c r="U25" s="124">
        <f t="shared" si="29"/>
        <v>-0.22569140242725383</v>
      </c>
      <c r="V25" s="46">
        <f t="shared" si="30"/>
        <v>0</v>
      </c>
      <c r="W25" s="125">
        <f t="shared" si="31"/>
        <v>0</v>
      </c>
      <c r="X25" s="115" t="s">
        <v>8</v>
      </c>
      <c r="Y25" s="123" t="s">
        <v>8</v>
      </c>
      <c r="Z25" s="126">
        <f t="shared" si="32"/>
        <v>0.57143522753580278</v>
      </c>
      <c r="AA25" s="124">
        <f t="shared" si="33"/>
        <v>-0.16158371367542967</v>
      </c>
      <c r="AB25" s="46">
        <f t="shared" si="34"/>
        <v>0</v>
      </c>
      <c r="AC25" s="125">
        <f t="shared" si="35"/>
        <v>0</v>
      </c>
      <c r="AD25" s="115" t="s">
        <v>8</v>
      </c>
      <c r="AE25" s="123" t="s">
        <v>8</v>
      </c>
      <c r="AF25" s="126">
        <f t="shared" si="36"/>
        <v>0.57143522753580278</v>
      </c>
      <c r="AG25" s="124">
        <f t="shared" si="37"/>
        <v>-0.1047206957371844</v>
      </c>
      <c r="AH25" s="46">
        <f t="shared" si="38"/>
        <v>0</v>
      </c>
      <c r="AI25" s="125">
        <f t="shared" si="39"/>
        <v>0</v>
      </c>
      <c r="AJ25" s="115" t="s">
        <v>8</v>
      </c>
      <c r="AK25" s="123" t="s">
        <v>8</v>
      </c>
      <c r="AL25" s="126">
        <f t="shared" si="40"/>
        <v>0.57143522753580278</v>
      </c>
      <c r="AM25" s="124">
        <f t="shared" si="41"/>
        <v>-5.3534637301633214E-2</v>
      </c>
      <c r="AN25" s="46">
        <f t="shared" si="42"/>
        <v>0</v>
      </c>
      <c r="AO25" s="125">
        <f t="shared" si="43"/>
        <v>0</v>
      </c>
      <c r="AP25" s="115" t="s">
        <v>8</v>
      </c>
      <c r="AQ25" s="123" t="s">
        <v>8</v>
      </c>
      <c r="AR25" s="126">
        <f t="shared" si="44"/>
        <v>0.57143522753580278</v>
      </c>
      <c r="AS25" s="124">
        <f t="shared" si="45"/>
        <v>-7.4451637086907496E-3</v>
      </c>
      <c r="AT25" s="46">
        <f t="shared" si="46"/>
        <v>0</v>
      </c>
      <c r="AU25" s="125">
        <f t="shared" si="47"/>
        <v>0</v>
      </c>
      <c r="AV25" s="115" t="s">
        <v>8</v>
      </c>
      <c r="AW25" s="123" t="s">
        <v>8</v>
      </c>
      <c r="AX25" s="126">
        <f t="shared" si="48"/>
        <v>0.57143522753580278</v>
      </c>
      <c r="AY25" s="124">
        <f t="shared" si="49"/>
        <v>3.3039125774733002E-2</v>
      </c>
      <c r="AZ25" s="46">
        <f t="shared" si="50"/>
        <v>2407308.9678353574</v>
      </c>
      <c r="BA25" s="125">
        <f t="shared" si="51"/>
        <v>2407308.9678353574</v>
      </c>
      <c r="BB25" s="115" t="s">
        <v>8</v>
      </c>
      <c r="BC25" s="123" t="s">
        <v>8</v>
      </c>
      <c r="BD25" s="126">
        <f t="shared" si="52"/>
        <v>0.62846587434344403</v>
      </c>
      <c r="BE25" s="124">
        <f t="shared" si="53"/>
        <v>1.3938396116280893E-2</v>
      </c>
      <c r="BF25" s="46">
        <f t="shared" si="54"/>
        <v>1096646.4899997737</v>
      </c>
      <c r="BG25" s="125">
        <f t="shared" si="55"/>
        <v>820820.58630883915</v>
      </c>
      <c r="BH25" s="115" t="s">
        <v>8</v>
      </c>
      <c r="BI25" s="123" t="s">
        <v>8</v>
      </c>
      <c r="BJ25" s="126">
        <f t="shared" si="56"/>
        <v>0.64791162458808893</v>
      </c>
      <c r="BK25" s="124">
        <f t="shared" si="57"/>
        <v>2.2208720340321619E-2</v>
      </c>
      <c r="BL25" s="46">
        <f t="shared" si="58"/>
        <v>1819745.2722638571</v>
      </c>
      <c r="BM25" s="125">
        <f t="shared" si="59"/>
        <v>0</v>
      </c>
      <c r="BN25" s="115" t="s">
        <v>8</v>
      </c>
      <c r="BO25" s="123" t="s">
        <v>8</v>
      </c>
      <c r="BP25" s="126">
        <f t="shared" si="60"/>
        <v>0.64791162458808893</v>
      </c>
      <c r="BQ25" s="124">
        <f t="shared" si="61"/>
        <v>2.2208720340321619E-2</v>
      </c>
      <c r="BR25" s="46">
        <f t="shared" si="62"/>
        <v>1819745.2722638571</v>
      </c>
      <c r="BS25" s="127">
        <f t="shared" si="63"/>
        <v>0</v>
      </c>
      <c r="BT25" s="115" t="s">
        <v>8</v>
      </c>
      <c r="BU25" s="123" t="s">
        <v>8</v>
      </c>
      <c r="BV25" s="126">
        <f t="shared" si="64"/>
        <v>0.64791162458808893</v>
      </c>
      <c r="BW25" s="124">
        <f t="shared" si="65"/>
        <v>2.2208720340321619E-2</v>
      </c>
      <c r="BX25" s="46">
        <f t="shared" si="66"/>
        <v>1819745.2722638571</v>
      </c>
      <c r="BY25" s="127">
        <f t="shared" si="67"/>
        <v>0</v>
      </c>
      <c r="BZ25" s="115" t="s">
        <v>8</v>
      </c>
      <c r="CA25" s="123" t="s">
        <v>8</v>
      </c>
      <c r="CB25" s="126">
        <f t="shared" si="68"/>
        <v>0.64791162458808893</v>
      </c>
      <c r="CC25" s="124">
        <f t="shared" si="69"/>
        <v>2.2208720340321619E-2</v>
      </c>
      <c r="CD25" s="46">
        <f t="shared" si="70"/>
        <v>1819745.2722638571</v>
      </c>
      <c r="CE25" s="127">
        <f t="shared" si="71"/>
        <v>0</v>
      </c>
      <c r="CF25" s="115" t="s">
        <v>8</v>
      </c>
      <c r="CG25" s="123" t="s">
        <v>8</v>
      </c>
      <c r="CH25" s="126">
        <f t="shared" si="72"/>
        <v>0.64791162458808893</v>
      </c>
      <c r="CI25" s="124">
        <f t="shared" si="73"/>
        <v>2.2208720340321619E-2</v>
      </c>
      <c r="CJ25" s="46">
        <f t="shared" si="74"/>
        <v>1819745.2722638571</v>
      </c>
      <c r="CK25" s="127">
        <f t="shared" si="75"/>
        <v>0</v>
      </c>
      <c r="CL25" s="115" t="s">
        <v>8</v>
      </c>
      <c r="CM25" s="123" t="s">
        <v>8</v>
      </c>
      <c r="CN25" s="126">
        <f t="shared" si="76"/>
        <v>0.64791162458808893</v>
      </c>
      <c r="CO25" s="124">
        <f t="shared" si="77"/>
        <v>2.2208720340321619E-2</v>
      </c>
      <c r="CP25" s="46">
        <f t="shared" si="78"/>
        <v>1819745.2722638571</v>
      </c>
      <c r="CQ25" s="127">
        <f t="shared" si="79"/>
        <v>0</v>
      </c>
      <c r="CR25" s="115" t="s">
        <v>8</v>
      </c>
      <c r="CS25" s="123" t="s">
        <v>8</v>
      </c>
      <c r="CT25" s="126">
        <f t="shared" si="80"/>
        <v>0.64791162458808893</v>
      </c>
      <c r="CU25" s="124">
        <f t="shared" si="81"/>
        <v>2.2208720340321619E-2</v>
      </c>
      <c r="CV25" s="46">
        <f t="shared" si="82"/>
        <v>1819745.2722638571</v>
      </c>
      <c r="CW25" s="127">
        <f t="shared" si="83"/>
        <v>0</v>
      </c>
      <c r="CX25" s="115" t="s">
        <v>8</v>
      </c>
      <c r="CY25" s="123" t="s">
        <v>8</v>
      </c>
      <c r="CZ25" s="126">
        <f t="shared" si="84"/>
        <v>0.64791162458808893</v>
      </c>
      <c r="DA25" s="124">
        <f t="shared" si="85"/>
        <v>2.2208720340321619E-2</v>
      </c>
      <c r="DB25" s="46">
        <f t="shared" si="86"/>
        <v>1819745.2722638571</v>
      </c>
      <c r="DC25" s="127">
        <f t="shared" si="87"/>
        <v>0</v>
      </c>
      <c r="DD25" s="115" t="s">
        <v>8</v>
      </c>
      <c r="DE25" s="123" t="s">
        <v>8</v>
      </c>
      <c r="DF25" s="126">
        <f t="shared" si="88"/>
        <v>0.64791162458808893</v>
      </c>
      <c r="DG25" s="124">
        <f t="shared" si="89"/>
        <v>2.2208720340321619E-2</v>
      </c>
      <c r="DH25" s="46">
        <f t="shared" si="90"/>
        <v>1819745.2722638571</v>
      </c>
      <c r="DI25" s="127">
        <f t="shared" si="91"/>
        <v>0</v>
      </c>
      <c r="DJ25" s="115" t="s">
        <v>8</v>
      </c>
      <c r="DK25" s="123" t="s">
        <v>8</v>
      </c>
      <c r="DL25" s="126">
        <f t="shared" si="92"/>
        <v>0.64791162458808893</v>
      </c>
      <c r="DM25" s="124">
        <f t="shared" si="93"/>
        <v>2.2208720340321619E-2</v>
      </c>
      <c r="DN25" s="46">
        <f t="shared" si="94"/>
        <v>1819745.2722638571</v>
      </c>
      <c r="DO25" s="127">
        <f t="shared" si="95"/>
        <v>0</v>
      </c>
      <c r="DP25" s="115" t="s">
        <v>8</v>
      </c>
      <c r="DQ25" s="123" t="s">
        <v>8</v>
      </c>
      <c r="DR25" s="126">
        <f t="shared" si="96"/>
        <v>0.64791162458808893</v>
      </c>
      <c r="DS25" s="124">
        <f t="shared" si="97"/>
        <v>2.2208720340321619E-2</v>
      </c>
      <c r="DT25" s="46">
        <f t="shared" si="98"/>
        <v>1819745.2722638571</v>
      </c>
      <c r="DU25" s="127">
        <f t="shared" si="99"/>
        <v>0</v>
      </c>
      <c r="DV25" s="115" t="s">
        <v>8</v>
      </c>
      <c r="DW25" s="123" t="s">
        <v>8</v>
      </c>
      <c r="DX25" s="30">
        <f t="shared" si="100"/>
        <v>0.64791162458808893</v>
      </c>
      <c r="DY25" s="124">
        <f t="shared" si="101"/>
        <v>2.2208720340321619E-2</v>
      </c>
      <c r="DZ25" s="29">
        <f t="shared" si="102"/>
        <v>1819745.2722638571</v>
      </c>
      <c r="EA25" s="125">
        <f t="shared" si="103"/>
        <v>0</v>
      </c>
      <c r="EB25" s="115" t="s">
        <v>8</v>
      </c>
      <c r="EC25" s="123" t="s">
        <v>8</v>
      </c>
      <c r="ED25" s="30">
        <f t="shared" si="104"/>
        <v>0.64791162458808893</v>
      </c>
      <c r="EE25" s="124">
        <f t="shared" si="105"/>
        <v>2.2208720340321619E-2</v>
      </c>
      <c r="EF25" s="29">
        <f t="shared" si="106"/>
        <v>1819745.2722638571</v>
      </c>
      <c r="EG25" s="125">
        <f t="shared" si="107"/>
        <v>0</v>
      </c>
      <c r="EH25" s="115" t="s">
        <v>8</v>
      </c>
      <c r="EI25" s="123" t="s">
        <v>8</v>
      </c>
      <c r="EJ25" s="30">
        <f t="shared" si="108"/>
        <v>0.64791162458808893</v>
      </c>
      <c r="EK25" s="124">
        <f t="shared" si="109"/>
        <v>2.2208720340321619E-2</v>
      </c>
      <c r="EL25" s="29">
        <f t="shared" si="110"/>
        <v>1819745.2722638571</v>
      </c>
      <c r="EM25" s="125">
        <f t="shared" si="111"/>
        <v>0</v>
      </c>
      <c r="EN25" s="115" t="s">
        <v>8</v>
      </c>
      <c r="EO25" s="123" t="s">
        <v>8</v>
      </c>
      <c r="EP25" s="30">
        <f t="shared" si="112"/>
        <v>0.64791162458808893</v>
      </c>
      <c r="EQ25" s="124">
        <f t="shared" si="113"/>
        <v>2.2208720340321619E-2</v>
      </c>
      <c r="ER25" s="29">
        <f t="shared" si="114"/>
        <v>1819745.2722638571</v>
      </c>
      <c r="ES25" s="125">
        <f t="shared" si="115"/>
        <v>0</v>
      </c>
      <c r="ET25" s="115" t="s">
        <v>8</v>
      </c>
      <c r="EU25" s="123" t="s">
        <v>8</v>
      </c>
      <c r="EV25" s="30">
        <f t="shared" si="116"/>
        <v>0.64791162458808893</v>
      </c>
      <c r="EW25" s="124">
        <f t="shared" si="117"/>
        <v>2.2208720340321619E-2</v>
      </c>
      <c r="EX25" s="29">
        <f t="shared" si="118"/>
        <v>1819745.2722638571</v>
      </c>
      <c r="EY25" s="125">
        <f t="shared" si="119"/>
        <v>0</v>
      </c>
      <c r="EZ25" s="115" t="s">
        <v>8</v>
      </c>
      <c r="FA25" s="123" t="s">
        <v>8</v>
      </c>
      <c r="FB25" s="30">
        <f t="shared" si="120"/>
        <v>0.64791162458808893</v>
      </c>
      <c r="FC25" s="124">
        <f t="shared" si="121"/>
        <v>2.2208720340321619E-2</v>
      </c>
      <c r="FD25" s="29">
        <f t="shared" si="122"/>
        <v>1819745.2722638571</v>
      </c>
      <c r="FE25" s="125">
        <f t="shared" si="123"/>
        <v>0</v>
      </c>
      <c r="FF25" s="115" t="s">
        <v>8</v>
      </c>
      <c r="FG25" s="123" t="s">
        <v>8</v>
      </c>
      <c r="FH25" s="30">
        <f t="shared" si="124"/>
        <v>0.64791162458808893</v>
      </c>
      <c r="FI25" s="124">
        <f t="shared" si="125"/>
        <v>2.2208720340321619E-2</v>
      </c>
      <c r="FJ25" s="29">
        <f t="shared" si="126"/>
        <v>1819745.2722638571</v>
      </c>
      <c r="FK25" s="125">
        <f t="shared" si="127"/>
        <v>0</v>
      </c>
      <c r="FL25" s="115" t="s">
        <v>8</v>
      </c>
      <c r="FM25" s="123" t="s">
        <v>8</v>
      </c>
      <c r="FN25" s="30">
        <f t="shared" si="128"/>
        <v>0.64791162458808893</v>
      </c>
      <c r="FO25" s="124">
        <f t="shared" si="129"/>
        <v>2.2208720340321619E-2</v>
      </c>
      <c r="FP25" s="29">
        <f t="shared" si="130"/>
        <v>1819745.2722638571</v>
      </c>
      <c r="FQ25" s="125">
        <f t="shared" si="131"/>
        <v>0</v>
      </c>
      <c r="FR25" s="115" t="s">
        <v>8</v>
      </c>
      <c r="FS25" s="123" t="s">
        <v>8</v>
      </c>
      <c r="FT25" s="30">
        <f t="shared" si="132"/>
        <v>0.64791162458808893</v>
      </c>
      <c r="FU25" s="124">
        <f t="shared" si="133"/>
        <v>2.2208720340321619E-2</v>
      </c>
      <c r="FV25" s="29">
        <f t="shared" si="134"/>
        <v>1819745.2722638571</v>
      </c>
      <c r="FW25" s="125">
        <f t="shared" si="135"/>
        <v>0</v>
      </c>
      <c r="FX25" s="115" t="s">
        <v>8</v>
      </c>
      <c r="FY25" s="123" t="s">
        <v>8</v>
      </c>
      <c r="FZ25" s="30">
        <f t="shared" si="136"/>
        <v>0.64791162458808893</v>
      </c>
      <c r="GA25" s="124">
        <f t="shared" si="137"/>
        <v>2.2208720340321619E-2</v>
      </c>
      <c r="GB25" s="29">
        <f t="shared" si="138"/>
        <v>1819745.2722638571</v>
      </c>
      <c r="GC25" s="125">
        <f t="shared" si="139"/>
        <v>0</v>
      </c>
      <c r="GD25" s="115" t="s">
        <v>8</v>
      </c>
      <c r="GE25" s="123" t="s">
        <v>8</v>
      </c>
      <c r="GF25" s="30">
        <f t="shared" si="140"/>
        <v>0.64791162458808893</v>
      </c>
      <c r="GG25" s="124">
        <f t="shared" si="141"/>
        <v>2.2208720340321619E-2</v>
      </c>
      <c r="GH25" s="29">
        <f t="shared" si="142"/>
        <v>1819745.2722638571</v>
      </c>
      <c r="GI25" s="127">
        <f t="shared" si="143"/>
        <v>0</v>
      </c>
      <c r="GJ25" s="225">
        <f t="shared" si="146"/>
        <v>3228129.5541441967</v>
      </c>
      <c r="GK25" s="240">
        <f t="shared" si="144"/>
        <v>4089043.067171297</v>
      </c>
      <c r="GL25" s="227">
        <f t="shared" si="145"/>
        <v>0.64791162458808893</v>
      </c>
      <c r="GM25" s="226">
        <v>4089043.07</v>
      </c>
      <c r="GN25" s="244"/>
    </row>
    <row r="26" spans="1:196" s="24" customFormat="1" ht="16.5" thickBot="1" x14ac:dyDescent="0.3">
      <c r="A26" s="90" t="s">
        <v>6</v>
      </c>
      <c r="B26" s="110">
        <v>34034128</v>
      </c>
      <c r="C26" s="108">
        <v>5</v>
      </c>
      <c r="D26" s="74">
        <f>B26*C26/100</f>
        <v>1701706.4</v>
      </c>
      <c r="E26" s="97">
        <f>100-C26</f>
        <v>95</v>
      </c>
      <c r="F26" s="74">
        <f>B26-D26</f>
        <v>32332421.600000001</v>
      </c>
      <c r="G26" s="96">
        <f>SUM(G9:G25)</f>
        <v>19114</v>
      </c>
      <c r="H26" s="96">
        <f>SUM(H9:H25)</f>
        <v>36161517</v>
      </c>
      <c r="I26" s="38" t="s">
        <v>8</v>
      </c>
      <c r="J26" s="149">
        <f>H26/G26</f>
        <v>1891.8864183321125</v>
      </c>
      <c r="K26" s="107" t="s">
        <v>8</v>
      </c>
      <c r="L26" s="71">
        <f>SUM(L9:L25)</f>
        <v>1701706.4</v>
      </c>
      <c r="M26" s="67" t="s">
        <v>8</v>
      </c>
      <c r="N26" s="39">
        <f>(SUMIF(M9:M25,"&lt;1")+1)/(COUNTIFS(M9:M25,"&lt;1")+1)</f>
        <v>0.27138834788402622</v>
      </c>
      <c r="O26" s="40" t="s">
        <v>8</v>
      </c>
      <c r="P26" s="37">
        <f>SUM(P9:P25)</f>
        <v>5465386.033328562</v>
      </c>
      <c r="Q26" s="37">
        <f>SUM(Q9:Q25)</f>
        <v>5465386.033328562</v>
      </c>
      <c r="R26" s="79">
        <f>F26-Q26</f>
        <v>26867035.566671439</v>
      </c>
      <c r="S26" s="39">
        <f>(SUMIF(T9:T25,"&lt;1")+1)/(COUNTIFS(T9:T25,"&lt;1")+1)</f>
        <v>0.34574382510854895</v>
      </c>
      <c r="T26" s="40" t="s">
        <v>8</v>
      </c>
      <c r="U26" s="40" t="s">
        <v>8</v>
      </c>
      <c r="V26" s="37">
        <f>SUM(V9:V25)</f>
        <v>4693520.6151845539</v>
      </c>
      <c r="W26" s="37">
        <f>SUM(W9:W25)</f>
        <v>4693520.6151845539</v>
      </c>
      <c r="X26" s="79">
        <f>R26-W26</f>
        <v>22173514.951486886</v>
      </c>
      <c r="Y26" s="39">
        <f>(SUMIF(Z9:Z25,"&lt;1")+1)/(COUNTIFS(Z9:Z25,"&lt;1")+1)</f>
        <v>0.40985151386037311</v>
      </c>
      <c r="Z26" s="40" t="s">
        <v>8</v>
      </c>
      <c r="AA26" s="40" t="s">
        <v>8</v>
      </c>
      <c r="AB26" s="37">
        <f>SUM(AB9:AB25)</f>
        <v>4198963.232728919</v>
      </c>
      <c r="AC26" s="37">
        <f>SUM(AC9:AC25)</f>
        <v>4198963.232728919</v>
      </c>
      <c r="AD26" s="79">
        <f>X26-AC26</f>
        <v>17974551.718757965</v>
      </c>
      <c r="AE26" s="39">
        <f>(SUMIF(AF9:AF25,"&lt;1")+1)/(COUNTIFS(AF9:AF25,"&lt;1")+1)</f>
        <v>0.46671453179861838</v>
      </c>
      <c r="AF26" s="40" t="s">
        <v>8</v>
      </c>
      <c r="AG26" s="40" t="s">
        <v>8</v>
      </c>
      <c r="AH26" s="37">
        <f>SUM(AH9:AH25)</f>
        <v>3787249.0853174496</v>
      </c>
      <c r="AI26" s="37">
        <f>SUM(AI9:AI25)</f>
        <v>3787249.0853174496</v>
      </c>
      <c r="AJ26" s="79">
        <f>AD26-AI26</f>
        <v>14187302.633440515</v>
      </c>
      <c r="AK26" s="39">
        <f>(SUMIF(AL9:AL25,"&lt;1")+1)/(COUNTIFS(AL9:AL25,"&lt;1")+1)</f>
        <v>0.51790059023416957</v>
      </c>
      <c r="AL26" s="40" t="s">
        <v>8</v>
      </c>
      <c r="AM26" s="40" t="s">
        <v>8</v>
      </c>
      <c r="AN26" s="37">
        <f>SUM(AN9:AN25)</f>
        <v>3414854.728290807</v>
      </c>
      <c r="AO26" s="37">
        <f>SUM(AO9:AO25)</f>
        <v>3414854.728290807</v>
      </c>
      <c r="AP26" s="79">
        <f>AJ26-AO26</f>
        <v>10772447.905149708</v>
      </c>
      <c r="AQ26" s="39">
        <f>(SUMIF(AR9:AR25,"&lt;1")+1)/(COUNTIFS(AR9:AR25,"&lt;1")+1)</f>
        <v>0.56399006382711203</v>
      </c>
      <c r="AR26" s="40" t="s">
        <v>8</v>
      </c>
      <c r="AS26" s="40" t="s">
        <v>8</v>
      </c>
      <c r="AT26" s="37">
        <f>SUM(AT9:AT25)</f>
        <v>2997180.4331982071</v>
      </c>
      <c r="AU26" s="74">
        <f>SUM(AU9:AU25)</f>
        <v>2997180.4331982071</v>
      </c>
      <c r="AV26" s="79">
        <f>AP26-AU26</f>
        <v>7775267.4719515005</v>
      </c>
      <c r="AW26" s="39">
        <f>(SUMIF(AX9:AX25,"&lt;1")+1)/(COUNTIFS(AX9:AX25,"&lt;1")+1)</f>
        <v>0.60447435331053578</v>
      </c>
      <c r="AX26" s="40" t="s">
        <v>8</v>
      </c>
      <c r="AY26" s="40" t="s">
        <v>8</v>
      </c>
      <c r="AZ26" s="37">
        <f>SUM(AZ9:AZ25)</f>
        <v>4982269.8811379895</v>
      </c>
      <c r="BA26" s="37">
        <f>SUM(BA9:BA25)</f>
        <v>4982269.8811379895</v>
      </c>
      <c r="BB26" s="79">
        <f>AV26-BA26</f>
        <v>2792997.5908135111</v>
      </c>
      <c r="BC26" s="39">
        <f>(SUMIF(BD9:BD25,"&lt;1")+1)/(COUNTIFS(BD9:BD25,"&lt;1")+1)</f>
        <v>0.64240427045972492</v>
      </c>
      <c r="BD26" s="40" t="s">
        <v>8</v>
      </c>
      <c r="BE26" s="40" t="s">
        <v>8</v>
      </c>
      <c r="BF26" s="37">
        <f>SUM(BF9:BF25)</f>
        <v>3731547.4972639307</v>
      </c>
      <c r="BG26" s="37">
        <f>SUM(BG9:BG25)</f>
        <v>2792997.5908135111</v>
      </c>
      <c r="BH26" s="79">
        <f>BB26-BG26</f>
        <v>0</v>
      </c>
      <c r="BI26" s="39">
        <f>(SUMIF(BJ9:BJ25,"&lt;1")+1)/(COUNTIFS(BJ9:BJ25,"&lt;1")+1)</f>
        <v>0.67012034492841055</v>
      </c>
      <c r="BJ26" s="40" t="s">
        <v>8</v>
      </c>
      <c r="BK26" s="40" t="s">
        <v>8</v>
      </c>
      <c r="BL26" s="37">
        <f>SUM(BL9:BL25)</f>
        <v>4277154.9863032121</v>
      </c>
      <c r="BM26" s="37">
        <f>SUM(BM9:BM25)</f>
        <v>0</v>
      </c>
      <c r="BN26" s="79">
        <f>BH26-BM26</f>
        <v>0</v>
      </c>
      <c r="BO26" s="39">
        <f>(SUMIF(BP9:BP25,"&lt;1")+1)/(COUNTIFS(BP9:BP25,"&lt;1")+1)</f>
        <v>0.67012034492841055</v>
      </c>
      <c r="BP26" s="40" t="s">
        <v>8</v>
      </c>
      <c r="BQ26" s="40" t="s">
        <v>8</v>
      </c>
      <c r="BR26" s="37">
        <f>SUM(BR9:BR25)</f>
        <v>4277154.9863032121</v>
      </c>
      <c r="BS26" s="37">
        <f>SUM(BS9:BS25)</f>
        <v>0</v>
      </c>
      <c r="BT26" s="79">
        <f>BN26-BS26</f>
        <v>0</v>
      </c>
      <c r="BU26" s="39">
        <f>(SUMIF(BV9:BV25,"&lt;1")+1)/(COUNTIFS(BV9:BV25,"&lt;1")+1)</f>
        <v>0.67012034492841055</v>
      </c>
      <c r="BV26" s="40" t="s">
        <v>8</v>
      </c>
      <c r="BW26" s="40" t="s">
        <v>8</v>
      </c>
      <c r="BX26" s="37">
        <f>SUM(BX9:BX25)</f>
        <v>4277154.9863032121</v>
      </c>
      <c r="BY26" s="37">
        <f>SUM(BY9:BY25)</f>
        <v>0</v>
      </c>
      <c r="BZ26" s="79">
        <f>BT26-BY26</f>
        <v>0</v>
      </c>
      <c r="CA26" s="39">
        <f>(SUMIF(CB9:CB25,"&lt;1")+1)/(COUNTIFS(CB9:CB25,"&lt;1")+1)</f>
        <v>0.67012034492841055</v>
      </c>
      <c r="CB26" s="40" t="s">
        <v>8</v>
      </c>
      <c r="CC26" s="40" t="s">
        <v>8</v>
      </c>
      <c r="CD26" s="37">
        <f>SUM(CD9:CD25)</f>
        <v>4277154.9863032121</v>
      </c>
      <c r="CE26" s="37">
        <f>SUM(CE9:CE25)</f>
        <v>0</v>
      </c>
      <c r="CF26" s="79">
        <f>BZ26-CE26</f>
        <v>0</v>
      </c>
      <c r="CG26" s="39">
        <f>(SUMIF(CH9:CH25,"&lt;1")+1)/(COUNTIFS(CH9:CH25,"&lt;1")+1)</f>
        <v>0.67012034492841055</v>
      </c>
      <c r="CH26" s="40" t="s">
        <v>8</v>
      </c>
      <c r="CI26" s="40" t="s">
        <v>8</v>
      </c>
      <c r="CJ26" s="37">
        <f>SUM(CJ9:CJ25)</f>
        <v>4277154.9863032121</v>
      </c>
      <c r="CK26" s="37">
        <f>SUM(CK9:CK25)</f>
        <v>0</v>
      </c>
      <c r="CL26" s="79">
        <f>CF26-CK26</f>
        <v>0</v>
      </c>
      <c r="CM26" s="39">
        <f>(SUMIF(CN9:CN25,"&lt;1")+1)/(COUNTIFS(CN9:CN25,"&lt;1")+1)</f>
        <v>0.67012034492841055</v>
      </c>
      <c r="CN26" s="40" t="s">
        <v>8</v>
      </c>
      <c r="CO26" s="40" t="s">
        <v>8</v>
      </c>
      <c r="CP26" s="37">
        <f>SUM(CP9:CP25)</f>
        <v>4277154.9863032121</v>
      </c>
      <c r="CQ26" s="37">
        <f>SUM(CQ9:CQ25)</f>
        <v>0</v>
      </c>
      <c r="CR26" s="79">
        <f>CL26-CQ26</f>
        <v>0</v>
      </c>
      <c r="CS26" s="39">
        <f>(SUMIF(CT9:CT25,"&lt;1")+1)/(COUNTIFS(CT9:CT25,"&lt;1")+1)</f>
        <v>0.67012034492841055</v>
      </c>
      <c r="CT26" s="40" t="s">
        <v>8</v>
      </c>
      <c r="CU26" s="40" t="s">
        <v>8</v>
      </c>
      <c r="CV26" s="37">
        <f>SUM(CV9:CV25)</f>
        <v>4277154.9863032121</v>
      </c>
      <c r="CW26" s="37">
        <f>SUM(CW9:CW25)</f>
        <v>0</v>
      </c>
      <c r="CX26" s="79">
        <f>CR26-CW26</f>
        <v>0</v>
      </c>
      <c r="CY26" s="39">
        <f>(SUMIF(CZ9:CZ25,"&lt;1")+1)/(COUNTIFS(CZ9:CZ25,"&lt;1")+1)</f>
        <v>0.67012034492841055</v>
      </c>
      <c r="CZ26" s="40" t="s">
        <v>8</v>
      </c>
      <c r="DA26" s="40" t="s">
        <v>8</v>
      </c>
      <c r="DB26" s="37">
        <f>SUM(DB9:DB25)</f>
        <v>4277154.9863032121</v>
      </c>
      <c r="DC26" s="37">
        <f>SUM(DC9:DC25)</f>
        <v>0</v>
      </c>
      <c r="DD26" s="79">
        <f>CX26-DC26</f>
        <v>0</v>
      </c>
      <c r="DE26" s="39">
        <f>(SUMIF(DF9:DF25,"&lt;1")+1)/(COUNTIFS(DF9:DF25,"&lt;1")+1)</f>
        <v>0.67012034492841055</v>
      </c>
      <c r="DF26" s="40" t="s">
        <v>8</v>
      </c>
      <c r="DG26" s="40" t="s">
        <v>8</v>
      </c>
      <c r="DH26" s="37">
        <f>SUM(DH9:DH25)</f>
        <v>4277154.9863032121</v>
      </c>
      <c r="DI26" s="37">
        <f>SUM(DI9:DI25)</f>
        <v>0</v>
      </c>
      <c r="DJ26" s="79">
        <f>DD26-DI26</f>
        <v>0</v>
      </c>
      <c r="DK26" s="39">
        <f>(SUMIF(DL9:DL25,"&lt;1")+1)/(COUNTIFS(DL9:DL25,"&lt;1")+1)</f>
        <v>0.67012034492841055</v>
      </c>
      <c r="DL26" s="40" t="s">
        <v>8</v>
      </c>
      <c r="DM26" s="40" t="s">
        <v>8</v>
      </c>
      <c r="DN26" s="37">
        <f>SUM(DN9:DN25)</f>
        <v>4277154.9863032121</v>
      </c>
      <c r="DO26" s="37">
        <f>SUM(DO9:DO25)</f>
        <v>0</v>
      </c>
      <c r="DP26" s="79">
        <f>DJ26-DO26</f>
        <v>0</v>
      </c>
      <c r="DQ26" s="39">
        <f>(SUMIF(DR9:DR25,"&lt;1")+1)/(COUNTIFS(DR9:DR25,"&lt;1")+1)</f>
        <v>0.67012034492841055</v>
      </c>
      <c r="DR26" s="40" t="s">
        <v>8</v>
      </c>
      <c r="DS26" s="40" t="s">
        <v>8</v>
      </c>
      <c r="DT26" s="37">
        <f>SUM(DT9:DT25)</f>
        <v>4277154.9863032121</v>
      </c>
      <c r="DU26" s="37">
        <f>SUM(DU9:DU25)</f>
        <v>0</v>
      </c>
      <c r="DV26" s="79">
        <f>DP26-DU26</f>
        <v>0</v>
      </c>
      <c r="DW26" s="39">
        <f>(SUMIF(DX9:DX25,"&lt;1")+1)/(COUNTIFS(DX9:DX25,"&lt;1")+1)</f>
        <v>0.67012034492841055</v>
      </c>
      <c r="DX26" s="40" t="s">
        <v>8</v>
      </c>
      <c r="DY26" s="40" t="s">
        <v>8</v>
      </c>
      <c r="DZ26" s="128">
        <f>SUM(DZ9:DZ25)</f>
        <v>4277154.9863032121</v>
      </c>
      <c r="EA26" s="37">
        <f>SUM(EA9:EA25)</f>
        <v>0</v>
      </c>
      <c r="EB26" s="79">
        <f>DV26-EA26</f>
        <v>0</v>
      </c>
      <c r="EC26" s="39">
        <f>(SUMIF(ED9:ED25,"&lt;1")+1)/(COUNTIFS(ED9:ED25,"&lt;1")+1)</f>
        <v>0.67012034492841055</v>
      </c>
      <c r="ED26" s="40" t="s">
        <v>8</v>
      </c>
      <c r="EE26" s="40" t="s">
        <v>8</v>
      </c>
      <c r="EF26" s="128">
        <f>SUM(EF9:EF25)</f>
        <v>4277154.9863032121</v>
      </c>
      <c r="EG26" s="37">
        <f>SUM(EG9:EG25)</f>
        <v>0</v>
      </c>
      <c r="EH26" s="79">
        <f>EB26-EG26</f>
        <v>0</v>
      </c>
      <c r="EI26" s="39">
        <f>(SUMIF(EJ9:EJ25,"&lt;1")+1)/(COUNTIFS(EJ9:EJ25,"&lt;1")+1)</f>
        <v>0.67012034492841055</v>
      </c>
      <c r="EJ26" s="40" t="s">
        <v>8</v>
      </c>
      <c r="EK26" s="40" t="s">
        <v>8</v>
      </c>
      <c r="EL26" s="128">
        <f>SUM(EL9:EL25)</f>
        <v>4277154.9863032121</v>
      </c>
      <c r="EM26" s="37">
        <f>SUM(EM9:EM25)</f>
        <v>0</v>
      </c>
      <c r="EN26" s="79">
        <f>EH26-EM26</f>
        <v>0</v>
      </c>
      <c r="EO26" s="39">
        <f>(SUMIF(EP9:EP25,"&lt;1")+1)/(COUNTIFS(EP9:EP25,"&lt;1")+1)</f>
        <v>0.67012034492841055</v>
      </c>
      <c r="EP26" s="40" t="s">
        <v>8</v>
      </c>
      <c r="EQ26" s="40" t="s">
        <v>8</v>
      </c>
      <c r="ER26" s="128">
        <f>SUM(ER9:ER25)</f>
        <v>4277154.9863032121</v>
      </c>
      <c r="ES26" s="37">
        <f>SUM(ES9:ES25)</f>
        <v>0</v>
      </c>
      <c r="ET26" s="79">
        <f>EN26-ES26</f>
        <v>0</v>
      </c>
      <c r="EU26" s="39">
        <f>(SUMIF(EV9:EV25,"&lt;1")+1)/(COUNTIFS(EV9:EV25,"&lt;1")+1)</f>
        <v>0.67012034492841055</v>
      </c>
      <c r="EV26" s="40" t="s">
        <v>8</v>
      </c>
      <c r="EW26" s="40" t="s">
        <v>8</v>
      </c>
      <c r="EX26" s="128">
        <f>SUM(EX9:EX25)</f>
        <v>4277154.9863032121</v>
      </c>
      <c r="EY26" s="37">
        <f>SUM(EY9:EY25)</f>
        <v>0</v>
      </c>
      <c r="EZ26" s="79">
        <f>ET26-EY26</f>
        <v>0</v>
      </c>
      <c r="FA26" s="39">
        <f>(SUMIF(FB9:FB25,"&lt;1")+1)/(COUNTIFS(FB9:FB25,"&lt;1")+1)</f>
        <v>0.67012034492841055</v>
      </c>
      <c r="FB26" s="40" t="s">
        <v>8</v>
      </c>
      <c r="FC26" s="40" t="s">
        <v>8</v>
      </c>
      <c r="FD26" s="128">
        <f>SUM(FD9:FD25)</f>
        <v>4277154.9863032121</v>
      </c>
      <c r="FE26" s="37">
        <f>SUM(FE9:FE25)</f>
        <v>0</v>
      </c>
      <c r="FF26" s="79">
        <f>EZ26-FE26</f>
        <v>0</v>
      </c>
      <c r="FG26" s="39">
        <f>(SUMIF(FH9:FH25,"&lt;1")+1)/(COUNTIFS(FH9:FH25,"&lt;1")+1)</f>
        <v>0.67012034492841055</v>
      </c>
      <c r="FH26" s="40" t="s">
        <v>8</v>
      </c>
      <c r="FI26" s="40" t="s">
        <v>8</v>
      </c>
      <c r="FJ26" s="128">
        <f>SUM(FJ9:FJ25)</f>
        <v>4277154.9863032121</v>
      </c>
      <c r="FK26" s="37">
        <f>SUM(FK9:FK25)</f>
        <v>0</v>
      </c>
      <c r="FL26" s="79">
        <f>FF26-FK26</f>
        <v>0</v>
      </c>
      <c r="FM26" s="39">
        <f>(SUMIF(FN9:FN25,"&lt;1")+1)/(COUNTIFS(FN9:FN25,"&lt;1")+1)</f>
        <v>0.67012034492841055</v>
      </c>
      <c r="FN26" s="40" t="s">
        <v>8</v>
      </c>
      <c r="FO26" s="40" t="s">
        <v>8</v>
      </c>
      <c r="FP26" s="128">
        <f>SUM(FP9:FP25)</f>
        <v>4277154.9863032121</v>
      </c>
      <c r="FQ26" s="37">
        <f>SUM(FQ9:FQ25)</f>
        <v>0</v>
      </c>
      <c r="FR26" s="79">
        <f>FL26-FQ26</f>
        <v>0</v>
      </c>
      <c r="FS26" s="39">
        <f>(SUMIF(FT9:FT25,"&lt;1")+1)/(COUNTIFS(FT9:FT25,"&lt;1")+1)</f>
        <v>0.67012034492841055</v>
      </c>
      <c r="FT26" s="40" t="s">
        <v>8</v>
      </c>
      <c r="FU26" s="40" t="s">
        <v>8</v>
      </c>
      <c r="FV26" s="128">
        <f>SUM(FV9:FV25)</f>
        <v>4277154.9863032121</v>
      </c>
      <c r="FW26" s="37">
        <f>SUM(FW9:FW25)</f>
        <v>0</v>
      </c>
      <c r="FX26" s="79">
        <f>FR26-FW26</f>
        <v>0</v>
      </c>
      <c r="FY26" s="39">
        <f>(SUMIF(FZ9:FZ25,"&lt;1")+1)/(COUNTIFS(FZ9:FZ25,"&lt;1")+1)</f>
        <v>0.67012034492841055</v>
      </c>
      <c r="FZ26" s="40" t="s">
        <v>8</v>
      </c>
      <c r="GA26" s="40" t="s">
        <v>8</v>
      </c>
      <c r="GB26" s="128">
        <f>SUM(GB9:GB25)</f>
        <v>4277154.9863032121</v>
      </c>
      <c r="GC26" s="37">
        <f>SUM(GC9:GC25)</f>
        <v>0</v>
      </c>
      <c r="GD26" s="79">
        <f>FX26-GC26</f>
        <v>0</v>
      </c>
      <c r="GE26" s="39">
        <f>(SUMIF(GF9:GF25,"&lt;1")+1)/(COUNTIFS(GF9:GF25,"&lt;1")+1)</f>
        <v>0.67012034492841055</v>
      </c>
      <c r="GF26" s="40" t="s">
        <v>8</v>
      </c>
      <c r="GG26" s="40" t="s">
        <v>8</v>
      </c>
      <c r="GH26" s="128">
        <f>SUM(GH9:GH25)</f>
        <v>4277154.9863032121</v>
      </c>
      <c r="GI26" s="224">
        <f>SUM(GI9:GI25)</f>
        <v>0</v>
      </c>
      <c r="GJ26" s="228">
        <f>SUM(GJ9:GJ25)</f>
        <v>32332421.600000001</v>
      </c>
      <c r="GK26" s="229">
        <f t="shared" si="144"/>
        <v>34034128</v>
      </c>
      <c r="GL26" s="230" t="s">
        <v>8</v>
      </c>
      <c r="GM26" s="229">
        <f>SUM(GM9:GM25)</f>
        <v>34034128</v>
      </c>
    </row>
    <row r="28" spans="1:196" x14ac:dyDescent="0.2">
      <c r="P28" s="19"/>
    </row>
    <row r="30" spans="1:196" x14ac:dyDescent="0.2">
      <c r="GJ30" s="114"/>
      <c r="GK30" s="114"/>
      <c r="GM30" s="114"/>
    </row>
    <row r="31" spans="1:196" x14ac:dyDescent="0.2">
      <c r="M31" s="18"/>
    </row>
  </sheetData>
  <protectedRanges>
    <protectedRange sqref="A9:A25" name="Диапазон3_1_1"/>
    <protectedRange sqref="A9:A25" name="Диапазон2_1_1"/>
  </protectedRanges>
  <mergeCells count="50">
    <mergeCell ref="A3:A6"/>
    <mergeCell ref="B3:B5"/>
    <mergeCell ref="C3:F3"/>
    <mergeCell ref="G3:J3"/>
    <mergeCell ref="FX4:GC4"/>
    <mergeCell ref="DD4:DI4"/>
    <mergeCell ref="DJ4:DO4"/>
    <mergeCell ref="DP4:DU4"/>
    <mergeCell ref="DV4:EA4"/>
    <mergeCell ref="EB4:EG4"/>
    <mergeCell ref="EH4:EM4"/>
    <mergeCell ref="ET4:EY4"/>
    <mergeCell ref="BN4:BS4"/>
    <mergeCell ref="BT4:BY4"/>
    <mergeCell ref="BZ4:CE4"/>
    <mergeCell ref="CF4:CK4"/>
    <mergeCell ref="C5:D5"/>
    <mergeCell ref="E5:F5"/>
    <mergeCell ref="GD4:GI4"/>
    <mergeCell ref="FF4:FK4"/>
    <mergeCell ref="FL4:FQ4"/>
    <mergeCell ref="FR4:FW4"/>
    <mergeCell ref="EZ4:FE4"/>
    <mergeCell ref="EN4:ES4"/>
    <mergeCell ref="AJ4:AO4"/>
    <mergeCell ref="K3:K5"/>
    <mergeCell ref="AP4:AU4"/>
    <mergeCell ref="AV4:BA4"/>
    <mergeCell ref="BB4:BG4"/>
    <mergeCell ref="BH4:BM4"/>
    <mergeCell ref="CL4:CQ4"/>
    <mergeCell ref="CR4:CW4"/>
    <mergeCell ref="AD4:AI4"/>
    <mergeCell ref="CX4:DC4"/>
    <mergeCell ref="GM3:GM5"/>
    <mergeCell ref="B1:L1"/>
    <mergeCell ref="GJ3:GJ5"/>
    <mergeCell ref="GK3:GK5"/>
    <mergeCell ref="GL3:GL5"/>
    <mergeCell ref="C4:D4"/>
    <mergeCell ref="E4:F4"/>
    <mergeCell ref="G4:G5"/>
    <mergeCell ref="H4:H5"/>
    <mergeCell ref="I4:I5"/>
    <mergeCell ref="J4:J5"/>
    <mergeCell ref="L4:L5"/>
    <mergeCell ref="M3:BS3"/>
    <mergeCell ref="M4:Q4"/>
    <mergeCell ref="R4:W4"/>
    <mergeCell ref="X4:AC4"/>
  </mergeCells>
  <printOptions horizontalCentered="1"/>
  <pageMargins left="0.27559055118110237" right="0.15748031496062992" top="0.39370078740157483" bottom="0.15748031496062992" header="0.74803149606299213" footer="0.23622047244094491"/>
  <pageSetup paperSize="9" scale="66" firstPageNumber="0" fitToWidth="7" pageOrder="overThenDown" orientation="landscape" horizontalDpi="300" verticalDpi="300" r:id="rId1"/>
  <headerFooter alignWithMargins="0"/>
  <colBreaks count="3" manualBreakCount="3">
    <brk id="47" max="1048575" man="1"/>
    <brk id="59" max="1048575" man="1"/>
    <brk id="70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0D8457-E896-48F5-9AB5-57A0DD0332A3}">
  <dimension ref="A2:E26"/>
  <sheetViews>
    <sheetView view="pageBreakPreview" topLeftCell="B1" zoomScaleNormal="100" zoomScaleSheetLayoutView="100" workbookViewId="0">
      <selection activeCell="C20" sqref="C20"/>
    </sheetView>
  </sheetViews>
  <sheetFormatPr defaultRowHeight="15.75" x14ac:dyDescent="0.25"/>
  <cols>
    <col min="1" max="1" width="0" style="183" hidden="1" customWidth="1"/>
    <col min="2" max="2" width="38.42578125" style="183" customWidth="1"/>
    <col min="3" max="3" width="15.140625" style="183" customWidth="1"/>
    <col min="4" max="4" width="16.42578125" style="183" customWidth="1"/>
    <col min="5" max="5" width="14" style="183" customWidth="1"/>
  </cols>
  <sheetData>
    <row r="2" spans="1:5" ht="15.75" customHeight="1" x14ac:dyDescent="0.2">
      <c r="A2" s="305" t="s">
        <v>218</v>
      </c>
      <c r="B2" s="305"/>
      <c r="C2" s="305"/>
      <c r="D2" s="305"/>
      <c r="E2" s="305"/>
    </row>
    <row r="3" spans="1:5" ht="15.75" customHeight="1" x14ac:dyDescent="0.2">
      <c r="A3" s="305"/>
      <c r="B3" s="305"/>
      <c r="C3" s="305"/>
      <c r="D3" s="305"/>
      <c r="E3" s="305"/>
    </row>
    <row r="4" spans="1:5" ht="15.75" customHeight="1" x14ac:dyDescent="0.2">
      <c r="A4" s="305"/>
      <c r="B4" s="305"/>
      <c r="C4" s="305"/>
      <c r="D4" s="305"/>
      <c r="E4" s="305"/>
    </row>
    <row r="5" spans="1:5" ht="15.75" customHeight="1" x14ac:dyDescent="0.2">
      <c r="A5" s="305"/>
      <c r="B5" s="305"/>
      <c r="C5" s="305"/>
      <c r="D5" s="305"/>
      <c r="E5" s="305"/>
    </row>
    <row r="7" spans="1:5" ht="42" customHeight="1" x14ac:dyDescent="0.25">
      <c r="A7" s="231"/>
      <c r="B7" s="192" t="s">
        <v>7</v>
      </c>
      <c r="C7" s="193" t="s">
        <v>202</v>
      </c>
      <c r="D7" s="193" t="s">
        <v>209</v>
      </c>
      <c r="E7" s="193" t="s">
        <v>212</v>
      </c>
    </row>
    <row r="8" spans="1:5" s="187" customFormat="1" ht="18.75" customHeight="1" x14ac:dyDescent="0.2">
      <c r="A8" s="232"/>
      <c r="B8" s="186" t="s">
        <v>196</v>
      </c>
      <c r="C8" s="186" t="s">
        <v>4</v>
      </c>
      <c r="D8" s="186" t="s">
        <v>4</v>
      </c>
      <c r="E8" s="186" t="s">
        <v>4</v>
      </c>
    </row>
    <row r="9" spans="1:5" ht="18.95" customHeight="1" x14ac:dyDescent="0.25">
      <c r="A9" s="231">
        <v>1</v>
      </c>
      <c r="B9" s="208" t="s">
        <v>172</v>
      </c>
      <c r="C9" s="188">
        <f>'2025'!GS9</f>
        <v>2739337.01</v>
      </c>
      <c r="D9" s="188">
        <f>'2026'!GM9</f>
        <v>2359817.15</v>
      </c>
      <c r="E9" s="188">
        <f>'2027'!GM9</f>
        <v>2387044.86</v>
      </c>
    </row>
    <row r="10" spans="1:5" ht="18.95" customHeight="1" x14ac:dyDescent="0.25">
      <c r="A10" s="231">
        <v>2</v>
      </c>
      <c r="B10" s="208" t="s">
        <v>173</v>
      </c>
      <c r="C10" s="188">
        <f>'2025'!GS10</f>
        <v>2143162.86</v>
      </c>
      <c r="D10" s="188">
        <f>'2026'!GM10</f>
        <v>1824617.3</v>
      </c>
      <c r="E10" s="188">
        <f>'2027'!GM10</f>
        <v>1844511.24</v>
      </c>
    </row>
    <row r="11" spans="1:5" ht="18.95" customHeight="1" x14ac:dyDescent="0.25">
      <c r="A11" s="231">
        <v>3</v>
      </c>
      <c r="B11" s="208" t="s">
        <v>174</v>
      </c>
      <c r="C11" s="188">
        <f>'2025'!GS11</f>
        <v>1719766.73</v>
      </c>
      <c r="D11" s="188">
        <f>'2026'!GM11</f>
        <v>1497954.07</v>
      </c>
      <c r="E11" s="188">
        <f>'2027'!GM11</f>
        <v>1526739.48</v>
      </c>
    </row>
    <row r="12" spans="1:5" ht="18.95" customHeight="1" x14ac:dyDescent="0.25">
      <c r="A12" s="231">
        <v>4</v>
      </c>
      <c r="B12" s="208" t="s">
        <v>175</v>
      </c>
      <c r="C12" s="188">
        <f>'2025'!GS12</f>
        <v>1710730.84</v>
      </c>
      <c r="D12" s="188">
        <f>'2026'!GM12</f>
        <v>1448304.61</v>
      </c>
      <c r="E12" s="188">
        <f>'2027'!GM12</f>
        <v>1455294.17</v>
      </c>
    </row>
    <row r="13" spans="1:5" ht="18.95" customHeight="1" x14ac:dyDescent="0.25">
      <c r="A13" s="231">
        <v>5</v>
      </c>
      <c r="B13" s="208" t="s">
        <v>176</v>
      </c>
      <c r="C13" s="188">
        <f>'2025'!GS13</f>
        <v>1859723.19</v>
      </c>
      <c r="D13" s="188">
        <f>'2026'!GM13</f>
        <v>1525505.63</v>
      </c>
      <c r="E13" s="188">
        <f>'2027'!GM13</f>
        <v>1555044.07</v>
      </c>
    </row>
    <row r="14" spans="1:5" ht="18.95" customHeight="1" x14ac:dyDescent="0.25">
      <c r="A14" s="231">
        <v>6</v>
      </c>
      <c r="B14" s="208" t="s">
        <v>177</v>
      </c>
      <c r="C14" s="188">
        <f>'2025'!GS14</f>
        <v>2296174.1800000002</v>
      </c>
      <c r="D14" s="188">
        <f>'2026'!GM14</f>
        <v>2057794.58</v>
      </c>
      <c r="E14" s="188">
        <f>'2027'!GM14</f>
        <v>2109579.7799999998</v>
      </c>
    </row>
    <row r="15" spans="1:5" ht="18.95" customHeight="1" x14ac:dyDescent="0.25">
      <c r="A15" s="231">
        <v>7</v>
      </c>
      <c r="B15" s="208" t="s">
        <v>178</v>
      </c>
      <c r="C15" s="188">
        <f>'2025'!GS15</f>
        <v>2678363.73</v>
      </c>
      <c r="D15" s="188">
        <f>'2026'!GM15</f>
        <v>2384729.6</v>
      </c>
      <c r="E15" s="188">
        <f>'2027'!GM15</f>
        <v>2438851.2999999998</v>
      </c>
    </row>
    <row r="16" spans="1:5" ht="18.95" customHeight="1" x14ac:dyDescent="0.25">
      <c r="A16" s="231">
        <v>8</v>
      </c>
      <c r="B16" s="208" t="s">
        <v>179</v>
      </c>
      <c r="C16" s="188">
        <f>'2025'!GS16</f>
        <v>2331441.08</v>
      </c>
      <c r="D16" s="188">
        <f>'2026'!GM16</f>
        <v>2069077.33</v>
      </c>
      <c r="E16" s="188">
        <f>'2027'!GM16</f>
        <v>2115904.7799999998</v>
      </c>
    </row>
    <row r="17" spans="1:5" ht="18.95" customHeight="1" x14ac:dyDescent="0.25">
      <c r="A17" s="231">
        <v>9</v>
      </c>
      <c r="B17" s="208" t="s">
        <v>180</v>
      </c>
      <c r="C17" s="188">
        <f>'2025'!GS17</f>
        <v>2005852.93</v>
      </c>
      <c r="D17" s="188">
        <f>'2026'!GM17</f>
        <v>1710992.43</v>
      </c>
      <c r="E17" s="188">
        <f>'2027'!GM17</f>
        <v>1725293.36</v>
      </c>
    </row>
    <row r="18" spans="1:5" ht="18.95" customHeight="1" x14ac:dyDescent="0.25">
      <c r="A18" s="231">
        <v>10</v>
      </c>
      <c r="B18" s="208" t="s">
        <v>181</v>
      </c>
      <c r="C18" s="188">
        <f>'2025'!GS18</f>
        <v>1622356.06</v>
      </c>
      <c r="D18" s="188">
        <f>'2026'!GM18</f>
        <v>1435514.56</v>
      </c>
      <c r="E18" s="188">
        <f>'2027'!GM18</f>
        <v>1471107.03</v>
      </c>
    </row>
    <row r="19" spans="1:5" ht="18.95" customHeight="1" x14ac:dyDescent="0.25">
      <c r="A19" s="231">
        <v>11</v>
      </c>
      <c r="B19" s="208" t="s">
        <v>182</v>
      </c>
      <c r="C19" s="188">
        <f>'2025'!GS19</f>
        <v>2722576.92</v>
      </c>
      <c r="D19" s="188">
        <f>'2026'!GM19</f>
        <v>2384566.9300000002</v>
      </c>
      <c r="E19" s="188">
        <f>'2027'!GM19</f>
        <v>2432425.36</v>
      </c>
    </row>
    <row r="20" spans="1:5" ht="18.95" customHeight="1" x14ac:dyDescent="0.25">
      <c r="A20" s="231">
        <v>12</v>
      </c>
      <c r="B20" s="208" t="s">
        <v>183</v>
      </c>
      <c r="C20" s="188">
        <f>'2025'!GS20</f>
        <v>3218736.06</v>
      </c>
      <c r="D20" s="188">
        <f>'2026'!GM20</f>
        <v>2894318.54</v>
      </c>
      <c r="E20" s="188">
        <f>'2027'!GM20</f>
        <v>2969969.88</v>
      </c>
    </row>
    <row r="21" spans="1:5" ht="18.95" customHeight="1" x14ac:dyDescent="0.25">
      <c r="A21" s="231">
        <v>13</v>
      </c>
      <c r="B21" s="208" t="s">
        <v>184</v>
      </c>
      <c r="C21" s="188">
        <f>'2025'!GS21</f>
        <v>2040669.1</v>
      </c>
      <c r="D21" s="188">
        <f>'2026'!GM21</f>
        <v>1791281.35</v>
      </c>
      <c r="E21" s="188">
        <f>'2027'!GM21</f>
        <v>1824894.41</v>
      </c>
    </row>
    <row r="22" spans="1:5" ht="15.75" customHeight="1" x14ac:dyDescent="0.25">
      <c r="A22" s="231">
        <v>14</v>
      </c>
      <c r="B22" s="208" t="s">
        <v>185</v>
      </c>
      <c r="C22" s="188">
        <f>'2025'!GS22</f>
        <v>1464423.5</v>
      </c>
      <c r="D22" s="188">
        <f>'2026'!GM22</f>
        <v>1084013.3700000001</v>
      </c>
      <c r="E22" s="188">
        <f>'2027'!GM22</f>
        <v>1027313.62</v>
      </c>
    </row>
    <row r="23" spans="1:5" ht="18.95" customHeight="1" x14ac:dyDescent="0.25">
      <c r="A23" s="231">
        <v>15</v>
      </c>
      <c r="B23" s="208" t="s">
        <v>186</v>
      </c>
      <c r="C23" s="188">
        <f>'2025'!GS23</f>
        <v>1884012.07</v>
      </c>
      <c r="D23" s="188">
        <f>'2026'!GM23</f>
        <v>1661068.05</v>
      </c>
      <c r="E23" s="188">
        <f>'2027'!GM23</f>
        <v>1695863.43</v>
      </c>
    </row>
    <row r="24" spans="1:5" ht="18.95" customHeight="1" x14ac:dyDescent="0.25">
      <c r="A24" s="231">
        <v>16</v>
      </c>
      <c r="B24" s="208" t="s">
        <v>187</v>
      </c>
      <c r="C24" s="188">
        <f>'2025'!GS24</f>
        <v>1657736.44</v>
      </c>
      <c r="D24" s="188">
        <f>'2026'!GM24</f>
        <v>1366153.07</v>
      </c>
      <c r="E24" s="188">
        <f>'2027'!GM24</f>
        <v>1365248.16</v>
      </c>
    </row>
    <row r="25" spans="1:5" ht="18.95" customHeight="1" x14ac:dyDescent="0.25">
      <c r="A25" s="231">
        <v>17</v>
      </c>
      <c r="B25" s="208" t="s">
        <v>188</v>
      </c>
      <c r="C25" s="188">
        <f>'2025'!GS25</f>
        <v>8447598.3000000007</v>
      </c>
      <c r="D25" s="188">
        <f>'2026'!GM25</f>
        <v>4538419.43</v>
      </c>
      <c r="E25" s="188">
        <f>'2027'!GM25</f>
        <v>4089043.07</v>
      </c>
    </row>
    <row r="26" spans="1:5" s="185" customFormat="1" ht="18.95" customHeight="1" x14ac:dyDescent="0.25">
      <c r="A26" s="233"/>
      <c r="B26" s="184" t="s">
        <v>6</v>
      </c>
      <c r="C26" s="189">
        <f>SUM(C9:C25)</f>
        <v>42542661</v>
      </c>
      <c r="D26" s="189">
        <f t="shared" ref="D26:E26" si="0">SUM(D9:D25)</f>
        <v>34034128</v>
      </c>
      <c r="E26" s="189">
        <f t="shared" si="0"/>
        <v>34034128</v>
      </c>
    </row>
  </sheetData>
  <protectedRanges>
    <protectedRange sqref="B9:B25" name="Диапазон3_1"/>
    <protectedRange sqref="B9:B25" name="Диапазон2_1"/>
  </protectedRanges>
  <mergeCells count="1">
    <mergeCell ref="A2:E5"/>
  </mergeCells>
  <pageMargins left="1.1811023622047245" right="0.35433070866141736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Исходные данные</vt:lpstr>
      <vt:lpstr>Расчет КРП</vt:lpstr>
      <vt:lpstr>2025</vt:lpstr>
      <vt:lpstr>2026</vt:lpstr>
      <vt:lpstr>2027</vt:lpstr>
      <vt:lpstr>итоги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'2025'!Z_287B6B75_F102_4A35_99B4_72102AA4A344__wvu_PrintTitles</vt:lpstr>
      <vt:lpstr>'2026'!Z_287B6B75_F102_4A35_99B4_72102AA4A344__wvu_PrintTitles</vt:lpstr>
      <vt:lpstr>'2027'!Z_287B6B75_F102_4A35_99B4_72102AA4A344__wvu_PrintTitles</vt:lpstr>
      <vt:lpstr>'Исходные данные'!Z_287B6B75_F102_4A35_99B4_72102AA4A344__wvu_PrintTitles</vt:lpstr>
      <vt:lpstr>'2025'!Заголовки_для_печати</vt:lpstr>
      <vt:lpstr>'2026'!Заголовки_для_печати</vt:lpstr>
      <vt:lpstr>'2027'!Заголовки_для_печати</vt:lpstr>
      <vt:lpstr>'Исходные данные'!Заголовки_для_печати</vt:lpstr>
      <vt:lpstr>'Исходные данные'!Область_печати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Durnopyanova L</cp:lastModifiedBy>
  <cp:lastPrinted>2024-11-07T06:58:33Z</cp:lastPrinted>
  <dcterms:created xsi:type="dcterms:W3CDTF">2013-11-15T09:40:24Z</dcterms:created>
  <dcterms:modified xsi:type="dcterms:W3CDTF">2024-11-07T07:06:05Z</dcterms:modified>
</cp:coreProperties>
</file>